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33778\OneDrive\PrimmoConseil\BONUS\"/>
    </mc:Choice>
  </mc:AlternateContent>
  <xr:revisionPtr revIDLastSave="6" documentId="8_{79FB90E6-D642-4E8E-8BAD-1B614B09537E}" xr6:coauthVersionLast="45" xr6:coauthVersionMax="45" xr10:uidLastSave="{C210CDAB-D0AA-4799-AEC8-24A8A34D1D98}"/>
  <bookViews>
    <workbookView xWindow="-110" yWindow="-110" windowWidth="19420" windowHeight="1042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7" i="1" l="1"/>
  <c r="G75" i="1"/>
  <c r="G73" i="1"/>
  <c r="G71" i="1"/>
  <c r="G69" i="1"/>
  <c r="E77" i="1"/>
  <c r="E75" i="1"/>
  <c r="E73" i="1"/>
  <c r="E71" i="1"/>
  <c r="E69" i="1"/>
  <c r="C77" i="1"/>
  <c r="G63" i="1" s="1"/>
  <c r="C75" i="1"/>
  <c r="C73" i="1"/>
  <c r="C71" i="1"/>
  <c r="C69" i="1"/>
  <c r="AM71" i="1"/>
  <c r="AO71" i="1"/>
  <c r="AQ71" i="1"/>
  <c r="AS71" i="1"/>
  <c r="AK71" i="1"/>
  <c r="AC71" i="1"/>
  <c r="AE71" i="1"/>
  <c r="AG71" i="1"/>
  <c r="AI71" i="1"/>
  <c r="AA71" i="1"/>
  <c r="AS32" i="1"/>
  <c r="AQ32" i="1"/>
  <c r="AO32" i="1"/>
  <c r="AM32" i="1"/>
  <c r="AK32" i="1"/>
  <c r="AI32" i="1"/>
  <c r="AG32" i="1"/>
  <c r="AE32" i="1"/>
  <c r="AC32" i="1"/>
  <c r="AA32" i="1"/>
  <c r="G27" i="1"/>
  <c r="R3" i="1" s="1"/>
  <c r="G21" i="1"/>
  <c r="G47" i="1" s="1"/>
  <c r="G55" i="1"/>
  <c r="G17" i="1"/>
  <c r="BU77" i="1" s="1"/>
  <c r="G53" i="1"/>
  <c r="BY69" i="1"/>
  <c r="AA69" i="1"/>
  <c r="G39" i="1"/>
  <c r="G43" i="1"/>
  <c r="G51" i="1"/>
  <c r="AI69" i="1"/>
  <c r="AK69" i="1"/>
  <c r="AC69" i="1"/>
  <c r="AM69" i="1"/>
  <c r="AE69" i="1"/>
  <c r="AO69" i="1"/>
  <c r="AG69" i="1"/>
  <c r="AQ69" i="1"/>
  <c r="AS69" i="1"/>
  <c r="AU69" i="1"/>
  <c r="AW77" i="1"/>
  <c r="AW69" i="1"/>
  <c r="AY69" i="1"/>
  <c r="BA69" i="1"/>
  <c r="BC69" i="1"/>
  <c r="BE69" i="1"/>
  <c r="BG69" i="1"/>
  <c r="BI69" i="1"/>
  <c r="BK69" i="1"/>
  <c r="BM69" i="1"/>
  <c r="BO69" i="1"/>
  <c r="BQ69" i="1"/>
  <c r="BS69" i="1"/>
  <c r="BU69" i="1"/>
  <c r="BW69" i="1"/>
  <c r="AA30" i="1"/>
  <c r="AC30" i="1" s="1"/>
  <c r="AE30" i="1" s="1"/>
  <c r="AG30" i="1" s="1"/>
  <c r="AI30" i="1" s="1"/>
  <c r="AK30" i="1" s="1"/>
  <c r="AM9" i="1"/>
  <c r="AM7" i="1"/>
  <c r="AM5" i="1"/>
  <c r="AM3" i="1"/>
  <c r="AC9" i="1"/>
  <c r="AC7" i="1"/>
  <c r="AC5" i="1"/>
  <c r="AC3" i="1"/>
  <c r="BQ36" i="1"/>
  <c r="BA36" i="1"/>
  <c r="AK36" i="1"/>
  <c r="G33" i="1"/>
  <c r="G9" i="1"/>
  <c r="G49" i="1" l="1"/>
  <c r="AO77" i="1"/>
  <c r="AO36" i="1"/>
  <c r="BE36" i="1"/>
  <c r="BU36" i="1"/>
  <c r="AA36" i="1"/>
  <c r="AQ36" i="1"/>
  <c r="BG36" i="1"/>
  <c r="BS36" i="1"/>
  <c r="BE77" i="1"/>
  <c r="AE36" i="1"/>
  <c r="AU36" i="1"/>
  <c r="BK36" i="1"/>
  <c r="AG77" i="1"/>
  <c r="BY36" i="1"/>
  <c r="AC36" i="1"/>
  <c r="AS36" i="1"/>
  <c r="BI36" i="1"/>
  <c r="AI77" i="1"/>
  <c r="AG36" i="1"/>
  <c r="AW36" i="1"/>
  <c r="BM36" i="1"/>
  <c r="BM77" i="1"/>
  <c r="AI36" i="1"/>
  <c r="AY36" i="1"/>
  <c r="BO36" i="1"/>
  <c r="AM36" i="1"/>
  <c r="BC36" i="1"/>
  <c r="BW36" i="1"/>
  <c r="T19" i="1"/>
  <c r="P20" i="1" s="1"/>
  <c r="R15" i="1"/>
  <c r="AM17" i="1" s="1"/>
  <c r="BS77" i="1"/>
  <c r="BK77" i="1"/>
  <c r="BC77" i="1"/>
  <c r="AA77" i="1"/>
  <c r="G29" i="1"/>
  <c r="BW77" i="1"/>
  <c r="BO77" i="1"/>
  <c r="BG77" i="1"/>
  <c r="AY77" i="1"/>
  <c r="AU77" i="1"/>
  <c r="BQ77" i="1"/>
  <c r="BI77" i="1"/>
  <c r="BA77" i="1"/>
  <c r="AM30" i="1"/>
  <c r="AC77" i="1"/>
  <c r="AK77" i="1"/>
  <c r="AS77" i="1"/>
  <c r="AQ77" i="1"/>
  <c r="BY77" i="1"/>
  <c r="BY83" i="1" s="1"/>
  <c r="AE77" i="1"/>
  <c r="AM77" i="1"/>
  <c r="N101" i="1" l="1"/>
  <c r="N104" i="1"/>
  <c r="N21" i="1"/>
  <c r="N83" i="1"/>
  <c r="N105" i="1"/>
  <c r="N126" i="1"/>
  <c r="N61" i="1"/>
  <c r="N29" i="1"/>
  <c r="N115" i="1"/>
  <c r="N94" i="1"/>
  <c r="N62" i="1"/>
  <c r="N30" i="1"/>
  <c r="N148" i="1"/>
  <c r="N110" i="1"/>
  <c r="N43" i="1"/>
  <c r="N153" i="1"/>
  <c r="N132" i="1"/>
  <c r="N111" i="1"/>
  <c r="N44" i="1"/>
  <c r="N156" i="1"/>
  <c r="N116" i="1"/>
  <c r="AC19" i="1"/>
  <c r="N108" i="1"/>
  <c r="N57" i="1"/>
  <c r="N41" i="1"/>
  <c r="N25" i="1"/>
  <c r="N151" i="1"/>
  <c r="N87" i="1"/>
  <c r="N130" i="1"/>
  <c r="N78" i="1"/>
  <c r="N109" i="1"/>
  <c r="N58" i="1"/>
  <c r="N42" i="1"/>
  <c r="N26" i="1"/>
  <c r="N154" i="1"/>
  <c r="N90" i="1"/>
  <c r="AM19" i="1"/>
  <c r="N123" i="1"/>
  <c r="N102" i="1"/>
  <c r="N54" i="1"/>
  <c r="N22" i="1"/>
  <c r="AM13" i="1"/>
  <c r="N144" i="1"/>
  <c r="N112" i="1"/>
  <c r="N45" i="1"/>
  <c r="N155" i="1"/>
  <c r="N134" i="1"/>
  <c r="N113" i="1"/>
  <c r="N46" i="1"/>
  <c r="N158" i="1"/>
  <c r="N118" i="1"/>
  <c r="N59" i="1"/>
  <c r="N27" i="1"/>
  <c r="N89" i="1"/>
  <c r="N92" i="1"/>
  <c r="N60" i="1"/>
  <c r="N28" i="1"/>
  <c r="N75" i="1"/>
  <c r="N93" i="1"/>
  <c r="N106" i="1"/>
  <c r="N55" i="1"/>
  <c r="N39" i="1"/>
  <c r="N23" i="1"/>
  <c r="N125" i="1"/>
  <c r="N85" i="1"/>
  <c r="N128" i="1"/>
  <c r="N76" i="1"/>
  <c r="N107" i="1"/>
  <c r="N56" i="1"/>
  <c r="N40" i="1"/>
  <c r="N24" i="1"/>
  <c r="N152" i="1"/>
  <c r="N88" i="1"/>
  <c r="AC15" i="1"/>
  <c r="AC13" i="1"/>
  <c r="N37" i="1"/>
  <c r="N67" i="1"/>
  <c r="N51" i="1"/>
  <c r="N35" i="1"/>
  <c r="N161" i="1"/>
  <c r="N121" i="1"/>
  <c r="N81" i="1"/>
  <c r="N100" i="1"/>
  <c r="N72" i="1"/>
  <c r="N103" i="1"/>
  <c r="N52" i="1"/>
  <c r="N36" i="1"/>
  <c r="N20" i="1"/>
  <c r="R20" i="1" s="1"/>
  <c r="T20" i="1" s="1"/>
  <c r="N124" i="1"/>
  <c r="N84" i="1"/>
  <c r="N137" i="1"/>
  <c r="N147" i="1"/>
  <c r="N164" i="1"/>
  <c r="N172" i="1"/>
  <c r="N178" i="1"/>
  <c r="N186" i="1"/>
  <c r="N192" i="1"/>
  <c r="N206" i="1"/>
  <c r="N212" i="1"/>
  <c r="N220" i="1"/>
  <c r="N226" i="1"/>
  <c r="N234" i="1"/>
  <c r="N240" i="1"/>
  <c r="N254" i="1"/>
  <c r="N260" i="1"/>
  <c r="N268" i="1"/>
  <c r="N274" i="1"/>
  <c r="N282" i="1"/>
  <c r="N288" i="1"/>
  <c r="N302" i="1"/>
  <c r="N308" i="1"/>
  <c r="N316" i="1"/>
  <c r="N242" i="1"/>
  <c r="N304" i="1"/>
  <c r="N265" i="1"/>
  <c r="N285" i="1"/>
  <c r="N319" i="1"/>
  <c r="N69" i="1"/>
  <c r="N91" i="1"/>
  <c r="N149" i="1"/>
  <c r="N165" i="1"/>
  <c r="N173" i="1"/>
  <c r="N179" i="1"/>
  <c r="N193" i="1"/>
  <c r="N199" i="1"/>
  <c r="N207" i="1"/>
  <c r="N213" i="1"/>
  <c r="N221" i="1"/>
  <c r="N227" i="1"/>
  <c r="N241" i="1"/>
  <c r="N247" i="1"/>
  <c r="N255" i="1"/>
  <c r="N261" i="1"/>
  <c r="N269" i="1"/>
  <c r="N275" i="1"/>
  <c r="N289" i="1"/>
  <c r="N295" i="1"/>
  <c r="N303" i="1"/>
  <c r="N309" i="1"/>
  <c r="N317" i="1"/>
  <c r="N150" i="1"/>
  <c r="N222" i="1"/>
  <c r="N262" i="1"/>
  <c r="N296" i="1"/>
  <c r="N293" i="1"/>
  <c r="N73" i="1"/>
  <c r="N97" i="1"/>
  <c r="N141" i="1"/>
  <c r="N167" i="1"/>
  <c r="N181" i="1"/>
  <c r="N187" i="1"/>
  <c r="N195" i="1"/>
  <c r="N201" i="1"/>
  <c r="N209" i="1"/>
  <c r="N215" i="1"/>
  <c r="N229" i="1"/>
  <c r="N235" i="1"/>
  <c r="N243" i="1"/>
  <c r="N249" i="1"/>
  <c r="N257" i="1"/>
  <c r="N263" i="1"/>
  <c r="N277" i="1"/>
  <c r="N283" i="1"/>
  <c r="N291" i="1"/>
  <c r="N297" i="1"/>
  <c r="N305" i="1"/>
  <c r="N311" i="1"/>
  <c r="N129" i="1"/>
  <c r="N143" i="1"/>
  <c r="N197" i="1"/>
  <c r="N217" i="1"/>
  <c r="N223" i="1"/>
  <c r="N231" i="1"/>
  <c r="N251" i="1"/>
  <c r="N271" i="1"/>
  <c r="N299" i="1"/>
  <c r="N77" i="1"/>
  <c r="N99" i="1"/>
  <c r="N142" i="1"/>
  <c r="N168" i="1"/>
  <c r="N182" i="1"/>
  <c r="N188" i="1"/>
  <c r="N196" i="1"/>
  <c r="N202" i="1"/>
  <c r="N210" i="1"/>
  <c r="N216" i="1"/>
  <c r="N230" i="1"/>
  <c r="N236" i="1"/>
  <c r="N244" i="1"/>
  <c r="N250" i="1"/>
  <c r="N258" i="1"/>
  <c r="N264" i="1"/>
  <c r="N278" i="1"/>
  <c r="N284" i="1"/>
  <c r="N292" i="1"/>
  <c r="N298" i="1"/>
  <c r="N306" i="1"/>
  <c r="N312" i="1"/>
  <c r="AM15" i="1"/>
  <c r="G35" i="1"/>
  <c r="N169" i="1"/>
  <c r="N175" i="1"/>
  <c r="N183" i="1"/>
  <c r="N189" i="1"/>
  <c r="N203" i="1"/>
  <c r="N245" i="1"/>
  <c r="N279" i="1"/>
  <c r="N313" i="1"/>
  <c r="N131" i="1"/>
  <c r="N145" i="1"/>
  <c r="N170" i="1"/>
  <c r="N176" i="1"/>
  <c r="N184" i="1"/>
  <c r="N190" i="1"/>
  <c r="N198" i="1"/>
  <c r="N204" i="1"/>
  <c r="N218" i="1"/>
  <c r="N224" i="1"/>
  <c r="N232" i="1"/>
  <c r="N238" i="1"/>
  <c r="N246" i="1"/>
  <c r="N252" i="1"/>
  <c r="N266" i="1"/>
  <c r="N272" i="1"/>
  <c r="N280" i="1"/>
  <c r="N286" i="1"/>
  <c r="N294" i="1"/>
  <c r="N300" i="1"/>
  <c r="N314" i="1"/>
  <c r="N95" i="1"/>
  <c r="N166" i="1"/>
  <c r="N180" i="1"/>
  <c r="N200" i="1"/>
  <c r="N214" i="1"/>
  <c r="N256" i="1"/>
  <c r="N276" i="1"/>
  <c r="N290" i="1"/>
  <c r="N310" i="1"/>
  <c r="N135" i="1"/>
  <c r="N146" i="1"/>
  <c r="N163" i="1"/>
  <c r="N171" i="1"/>
  <c r="N177" i="1"/>
  <c r="N185" i="1"/>
  <c r="N191" i="1"/>
  <c r="N205" i="1"/>
  <c r="N211" i="1"/>
  <c r="N219" i="1"/>
  <c r="N225" i="1"/>
  <c r="N233" i="1"/>
  <c r="N239" i="1"/>
  <c r="N253" i="1"/>
  <c r="N259" i="1"/>
  <c r="N267" i="1"/>
  <c r="N273" i="1"/>
  <c r="N281" i="1"/>
  <c r="N287" i="1"/>
  <c r="N301" i="1"/>
  <c r="N307" i="1"/>
  <c r="N315" i="1"/>
  <c r="N71" i="1"/>
  <c r="N139" i="1"/>
  <c r="N174" i="1"/>
  <c r="N194" i="1"/>
  <c r="N208" i="1"/>
  <c r="N228" i="1"/>
  <c r="N248" i="1"/>
  <c r="N270" i="1"/>
  <c r="N318" i="1"/>
  <c r="N237" i="1"/>
  <c r="N53" i="1"/>
  <c r="N74" i="1"/>
  <c r="N38" i="1"/>
  <c r="N86" i="1"/>
  <c r="N127" i="1"/>
  <c r="N133" i="1"/>
  <c r="N65" i="1"/>
  <c r="N49" i="1"/>
  <c r="N33" i="1"/>
  <c r="N159" i="1"/>
  <c r="N119" i="1"/>
  <c r="N79" i="1"/>
  <c r="N98" i="1"/>
  <c r="N70" i="1"/>
  <c r="N66" i="1"/>
  <c r="N50" i="1"/>
  <c r="N34" i="1"/>
  <c r="N162" i="1"/>
  <c r="N122" i="1"/>
  <c r="N82" i="1"/>
  <c r="AC17" i="1"/>
  <c r="N140" i="1"/>
  <c r="N138" i="1"/>
  <c r="N114" i="1"/>
  <c r="N63" i="1"/>
  <c r="N47" i="1"/>
  <c r="N31" i="1"/>
  <c r="N157" i="1"/>
  <c r="N117" i="1"/>
  <c r="N136" i="1"/>
  <c r="N96" i="1"/>
  <c r="N68" i="1"/>
  <c r="N64" i="1"/>
  <c r="N48" i="1"/>
  <c r="N32" i="1"/>
  <c r="N160" i="1"/>
  <c r="N120" i="1"/>
  <c r="N80" i="1"/>
  <c r="BY91" i="1"/>
  <c r="BY101" i="1" s="1"/>
  <c r="BY87" i="1"/>
  <c r="BY97" i="1" s="1"/>
  <c r="BY89" i="1"/>
  <c r="BY99" i="1" s="1"/>
  <c r="BY85" i="1"/>
  <c r="BY95" i="1" s="1"/>
  <c r="AO30" i="1"/>
  <c r="R11" i="1" l="1"/>
  <c r="R13" i="1" s="1"/>
  <c r="AQ30" i="1"/>
  <c r="P21" i="1"/>
  <c r="R21" i="1" l="1"/>
  <c r="T21" i="1" s="1"/>
  <c r="AS30" i="1"/>
  <c r="AU30" i="1" l="1"/>
  <c r="P22" i="1"/>
  <c r="R22" i="1" l="1"/>
  <c r="T22" i="1" s="1"/>
  <c r="AW30" i="1"/>
  <c r="AY30" i="1" l="1"/>
  <c r="P23" i="1"/>
  <c r="R23" i="1" l="1"/>
  <c r="T23" i="1" s="1"/>
  <c r="BA30" i="1"/>
  <c r="BC30" i="1" l="1"/>
  <c r="P24" i="1"/>
  <c r="R24" i="1" l="1"/>
  <c r="T24" i="1" s="1"/>
  <c r="BE30" i="1"/>
  <c r="P25" i="1" l="1"/>
  <c r="R25" i="1" s="1"/>
  <c r="T25" i="1" s="1"/>
  <c r="BG30" i="1"/>
  <c r="P26" i="1" l="1"/>
  <c r="R26" i="1" s="1"/>
  <c r="T26" i="1" s="1"/>
  <c r="BI30" i="1"/>
  <c r="P27" i="1" l="1"/>
  <c r="R27" i="1" s="1"/>
  <c r="T27" i="1" s="1"/>
  <c r="BK30" i="1"/>
  <c r="P28" i="1" l="1"/>
  <c r="R28" i="1" s="1"/>
  <c r="T28" i="1" s="1"/>
  <c r="BM30" i="1"/>
  <c r="P29" i="1" l="1"/>
  <c r="R29" i="1" s="1"/>
  <c r="T29" i="1" s="1"/>
  <c r="BO30" i="1"/>
  <c r="P30" i="1" l="1"/>
  <c r="R30" i="1" s="1"/>
  <c r="T30" i="1" s="1"/>
  <c r="BQ30" i="1"/>
  <c r="P31" i="1" l="1"/>
  <c r="BS30" i="1"/>
  <c r="BU30" i="1" l="1"/>
  <c r="R31" i="1"/>
  <c r="T31" i="1" s="1"/>
  <c r="AA34" i="1"/>
  <c r="AA40" i="1" s="1"/>
  <c r="AA75" i="1"/>
  <c r="AA83" i="1" s="1"/>
  <c r="P32" i="1" l="1"/>
  <c r="AA79" i="1"/>
  <c r="AA87" i="1"/>
  <c r="AA97" i="1" s="1"/>
  <c r="AA85" i="1"/>
  <c r="AA95" i="1" s="1"/>
  <c r="AA91" i="1"/>
  <c r="AA101" i="1" s="1"/>
  <c r="AA89" i="1"/>
  <c r="AA99" i="1" s="1"/>
  <c r="BW30" i="1"/>
  <c r="AA44" i="1"/>
  <c r="AA54" i="1" s="1"/>
  <c r="AA48" i="1"/>
  <c r="AA58" i="1" s="1"/>
  <c r="AA46" i="1"/>
  <c r="AA56" i="1" s="1"/>
  <c r="AA42" i="1"/>
  <c r="AA52" i="1" s="1"/>
  <c r="BY30" i="1" l="1"/>
  <c r="BY40" i="1" s="1"/>
  <c r="R32" i="1"/>
  <c r="T32" i="1" s="1"/>
  <c r="P33" i="1" l="1"/>
  <c r="BY48" i="1"/>
  <c r="BY58" i="1" s="1"/>
  <c r="BY44" i="1"/>
  <c r="BY54" i="1" s="1"/>
  <c r="BY46" i="1"/>
  <c r="BY56" i="1" s="1"/>
  <c r="BY42" i="1"/>
  <c r="BY52" i="1" s="1"/>
  <c r="R33" i="1" l="1"/>
  <c r="T33" i="1" s="1"/>
  <c r="P34" i="1" l="1"/>
  <c r="R34" i="1" l="1"/>
  <c r="T34" i="1" s="1"/>
  <c r="P35" i="1" l="1"/>
  <c r="R35" i="1" l="1"/>
  <c r="T35" i="1" s="1"/>
  <c r="P36" i="1" l="1"/>
  <c r="R36" i="1" l="1"/>
  <c r="T36" i="1" s="1"/>
  <c r="P37" i="1" l="1"/>
  <c r="R37" i="1" s="1"/>
  <c r="T37" i="1" s="1"/>
  <c r="P38" i="1" l="1"/>
  <c r="R38" i="1" s="1"/>
  <c r="T38" i="1" s="1"/>
  <c r="P39" i="1" l="1"/>
  <c r="R39" i="1" s="1"/>
  <c r="T39" i="1" s="1"/>
  <c r="P40" i="1" l="1"/>
  <c r="R40" i="1" s="1"/>
  <c r="T40" i="1" s="1"/>
  <c r="P41" i="1" l="1"/>
  <c r="R41" i="1" s="1"/>
  <c r="T41" i="1" s="1"/>
  <c r="P42" i="1" l="1"/>
  <c r="R42" i="1" s="1"/>
  <c r="T42" i="1" s="1"/>
  <c r="P43" i="1" l="1"/>
  <c r="R43" i="1" l="1"/>
  <c r="T43" i="1" s="1"/>
  <c r="AC75" i="1"/>
  <c r="AC83" i="1" s="1"/>
  <c r="AC34" i="1"/>
  <c r="AC40" i="1" s="1"/>
  <c r="AC42" i="1" l="1"/>
  <c r="AC52" i="1" s="1"/>
  <c r="AC46" i="1"/>
  <c r="AC56" i="1" s="1"/>
  <c r="AC44" i="1"/>
  <c r="AC54" i="1" s="1"/>
  <c r="AC48" i="1"/>
  <c r="AC58" i="1" s="1"/>
  <c r="AC79" i="1"/>
  <c r="AC87" i="1"/>
  <c r="AC97" i="1" s="1"/>
  <c r="AC89" i="1"/>
  <c r="AC99" i="1" s="1"/>
  <c r="AC91" i="1"/>
  <c r="AC101" i="1" s="1"/>
  <c r="AC85" i="1"/>
  <c r="AC95" i="1" s="1"/>
  <c r="P44" i="1"/>
  <c r="R44" i="1" l="1"/>
  <c r="T44" i="1" s="1"/>
  <c r="P45" i="1" l="1"/>
  <c r="R45" i="1" l="1"/>
  <c r="T45" i="1" s="1"/>
  <c r="P46" i="1" l="1"/>
  <c r="R46" i="1" l="1"/>
  <c r="T46" i="1" s="1"/>
  <c r="P47" i="1" l="1"/>
  <c r="R47" i="1" l="1"/>
  <c r="T47" i="1" s="1"/>
  <c r="P48" i="1" l="1"/>
  <c r="R48" i="1" l="1"/>
  <c r="T48" i="1" s="1"/>
  <c r="P49" i="1" l="1"/>
  <c r="R49" i="1" s="1"/>
  <c r="T49" i="1" s="1"/>
  <c r="P50" i="1" l="1"/>
  <c r="R50" i="1" s="1"/>
  <c r="T50" i="1"/>
  <c r="P51" i="1" l="1"/>
  <c r="R51" i="1" s="1"/>
  <c r="T51" i="1" s="1"/>
  <c r="P52" i="1" l="1"/>
  <c r="R52" i="1" s="1"/>
  <c r="T52" i="1" s="1"/>
  <c r="P53" i="1" l="1"/>
  <c r="R53" i="1" s="1"/>
  <c r="T53" i="1" s="1"/>
  <c r="P54" i="1" l="1"/>
  <c r="R54" i="1" s="1"/>
  <c r="T54" i="1" s="1"/>
  <c r="P55" i="1" l="1"/>
  <c r="R55" i="1" l="1"/>
  <c r="T55" i="1" s="1"/>
  <c r="AE34" i="1"/>
  <c r="AE40" i="1" s="1"/>
  <c r="AE75" i="1"/>
  <c r="AE83" i="1" s="1"/>
  <c r="P56" i="1" l="1"/>
  <c r="AE87" i="1"/>
  <c r="AE97" i="1" s="1"/>
  <c r="AE79" i="1"/>
  <c r="AE91" i="1"/>
  <c r="AE101" i="1" s="1"/>
  <c r="AE89" i="1"/>
  <c r="AE99" i="1" s="1"/>
  <c r="AE85" i="1"/>
  <c r="AE95" i="1" s="1"/>
  <c r="AE48" i="1"/>
  <c r="AE58" i="1" s="1"/>
  <c r="AE42" i="1"/>
  <c r="AE52" i="1" s="1"/>
  <c r="AE46" i="1"/>
  <c r="AE56" i="1" s="1"/>
  <c r="AE44" i="1"/>
  <c r="AE54" i="1" s="1"/>
  <c r="R56" i="1" l="1"/>
  <c r="T56" i="1" s="1"/>
  <c r="P57" i="1" l="1"/>
  <c r="R57" i="1" l="1"/>
  <c r="T57" i="1" s="1"/>
  <c r="P58" i="1" l="1"/>
  <c r="R58" i="1" l="1"/>
  <c r="T58" i="1" s="1"/>
  <c r="P59" i="1" l="1"/>
  <c r="R59" i="1" l="1"/>
  <c r="T59" i="1" s="1"/>
  <c r="P60" i="1" l="1"/>
  <c r="R60" i="1" l="1"/>
  <c r="T60" i="1" s="1"/>
  <c r="P61" i="1" l="1"/>
  <c r="R61" i="1" s="1"/>
  <c r="T61" i="1" s="1"/>
  <c r="P62" i="1" l="1"/>
  <c r="R62" i="1" s="1"/>
  <c r="T62" i="1" s="1"/>
  <c r="P63" i="1" l="1"/>
  <c r="R63" i="1" s="1"/>
  <c r="T63" i="1" s="1"/>
  <c r="P64" i="1" l="1"/>
  <c r="R64" i="1" s="1"/>
  <c r="T64" i="1" s="1"/>
  <c r="P65" i="1" l="1"/>
  <c r="R65" i="1" s="1"/>
  <c r="T65" i="1" s="1"/>
  <c r="P66" i="1" l="1"/>
  <c r="R66" i="1" s="1"/>
  <c r="T66" i="1" s="1"/>
  <c r="P67" i="1" l="1"/>
  <c r="R67" i="1" l="1"/>
  <c r="T67" i="1" s="1"/>
  <c r="AG34" i="1"/>
  <c r="AG40" i="1" s="1"/>
  <c r="AG75" i="1"/>
  <c r="AG83" i="1" s="1"/>
  <c r="AG46" i="1" l="1"/>
  <c r="AG56" i="1" s="1"/>
  <c r="AG42" i="1"/>
  <c r="AG52" i="1" s="1"/>
  <c r="AG44" i="1"/>
  <c r="AG54" i="1" s="1"/>
  <c r="AG48" i="1"/>
  <c r="AG58" i="1" s="1"/>
  <c r="AG79" i="1"/>
  <c r="AG91" i="1"/>
  <c r="AG101" i="1" s="1"/>
  <c r="AG85" i="1"/>
  <c r="AG95" i="1" s="1"/>
  <c r="AG87" i="1"/>
  <c r="AG97" i="1" s="1"/>
  <c r="AG89" i="1"/>
  <c r="AG99" i="1" s="1"/>
  <c r="P68" i="1"/>
  <c r="R68" i="1" l="1"/>
  <c r="T68" i="1" s="1"/>
  <c r="P69" i="1" l="1"/>
  <c r="R69" i="1" l="1"/>
  <c r="T69" i="1" s="1"/>
  <c r="P70" i="1" l="1"/>
  <c r="R70" i="1" l="1"/>
  <c r="T70" i="1" s="1"/>
  <c r="P71" i="1" l="1"/>
  <c r="R71" i="1" l="1"/>
  <c r="T71" i="1" s="1"/>
  <c r="P72" i="1" l="1"/>
  <c r="R72" i="1" l="1"/>
  <c r="T72" i="1" s="1"/>
  <c r="P73" i="1" l="1"/>
  <c r="R73" i="1" s="1"/>
  <c r="T73" i="1" s="1"/>
  <c r="P74" i="1" l="1"/>
  <c r="R74" i="1" s="1"/>
  <c r="T74" i="1" s="1"/>
  <c r="P75" i="1" l="1"/>
  <c r="R75" i="1" s="1"/>
  <c r="T75" i="1" s="1"/>
  <c r="P76" i="1" l="1"/>
  <c r="R76" i="1" s="1"/>
  <c r="T76" i="1" s="1"/>
  <c r="P77" i="1" l="1"/>
  <c r="R77" i="1" s="1"/>
  <c r="T77" i="1" s="1"/>
  <c r="P78" i="1" l="1"/>
  <c r="R78" i="1" s="1"/>
  <c r="T78" i="1" s="1"/>
  <c r="P79" i="1" l="1"/>
  <c r="R79" i="1" l="1"/>
  <c r="T79" i="1" s="1"/>
  <c r="AI34" i="1"/>
  <c r="AI40" i="1" s="1"/>
  <c r="AI75" i="1"/>
  <c r="AI83" i="1" s="1"/>
  <c r="AI79" i="1" l="1"/>
  <c r="AI91" i="1"/>
  <c r="AI101" i="1" s="1"/>
  <c r="AI87" i="1"/>
  <c r="AI97" i="1" s="1"/>
  <c r="AI85" i="1"/>
  <c r="AI95" i="1" s="1"/>
  <c r="AI89" i="1"/>
  <c r="AI99" i="1" s="1"/>
  <c r="AI44" i="1"/>
  <c r="AI54" i="1" s="1"/>
  <c r="AI48" i="1"/>
  <c r="AI58" i="1" s="1"/>
  <c r="AI46" i="1"/>
  <c r="AI56" i="1" s="1"/>
  <c r="AI42" i="1"/>
  <c r="AI52" i="1" s="1"/>
  <c r="P80" i="1"/>
  <c r="R80" i="1" l="1"/>
  <c r="T80" i="1" s="1"/>
  <c r="P81" i="1" l="1"/>
  <c r="R81" i="1" l="1"/>
  <c r="T81" i="1" s="1"/>
  <c r="P82" i="1" l="1"/>
  <c r="R82" i="1" l="1"/>
  <c r="T82" i="1" s="1"/>
  <c r="P83" i="1" l="1"/>
  <c r="R83" i="1" l="1"/>
  <c r="T83" i="1" s="1"/>
  <c r="P84" i="1" l="1"/>
  <c r="R84" i="1" l="1"/>
  <c r="T84" i="1" s="1"/>
  <c r="P85" i="1" l="1"/>
  <c r="R85" i="1" s="1"/>
  <c r="T85" i="1" s="1"/>
  <c r="P86" i="1" l="1"/>
  <c r="R86" i="1" s="1"/>
  <c r="T86" i="1" s="1"/>
  <c r="P87" i="1" l="1"/>
  <c r="R87" i="1" s="1"/>
  <c r="T87" i="1" s="1"/>
  <c r="P88" i="1" l="1"/>
  <c r="R88" i="1" s="1"/>
  <c r="T88" i="1" s="1"/>
  <c r="P89" i="1" l="1"/>
  <c r="R89" i="1" s="1"/>
  <c r="T89" i="1" s="1"/>
  <c r="P90" i="1" l="1"/>
  <c r="R90" i="1" s="1"/>
  <c r="T90" i="1" s="1"/>
  <c r="P91" i="1" l="1"/>
  <c r="R91" i="1" l="1"/>
  <c r="T91" i="1" s="1"/>
  <c r="AK34" i="1"/>
  <c r="AK40" i="1" s="1"/>
  <c r="AK75" i="1"/>
  <c r="AK83" i="1" s="1"/>
  <c r="AK91" i="1" l="1"/>
  <c r="AK101" i="1" s="1"/>
  <c r="AK85" i="1"/>
  <c r="AK95" i="1" s="1"/>
  <c r="AK79" i="1"/>
  <c r="AK87" i="1"/>
  <c r="AK97" i="1" s="1"/>
  <c r="AK89" i="1"/>
  <c r="AK99" i="1" s="1"/>
  <c r="AK42" i="1"/>
  <c r="AK52" i="1" s="1"/>
  <c r="AK46" i="1"/>
  <c r="AK56" i="1" s="1"/>
  <c r="AK48" i="1"/>
  <c r="AK58" i="1" s="1"/>
  <c r="AK44" i="1"/>
  <c r="AK54" i="1" s="1"/>
  <c r="P92" i="1"/>
  <c r="R92" i="1" l="1"/>
  <c r="T92" i="1" s="1"/>
  <c r="P93" i="1" l="1"/>
  <c r="R93" i="1" l="1"/>
  <c r="T93" i="1" s="1"/>
  <c r="P94" i="1" l="1"/>
  <c r="R94" i="1" l="1"/>
  <c r="T94" i="1" s="1"/>
  <c r="P95" i="1" l="1"/>
  <c r="R95" i="1" l="1"/>
  <c r="T95" i="1" s="1"/>
  <c r="P96" i="1" l="1"/>
  <c r="R96" i="1" l="1"/>
  <c r="T96" i="1" s="1"/>
  <c r="P97" i="1" l="1"/>
  <c r="R97" i="1" s="1"/>
  <c r="T97" i="1" s="1"/>
  <c r="P98" i="1" l="1"/>
  <c r="R98" i="1" s="1"/>
  <c r="T98" i="1" s="1"/>
  <c r="P99" i="1" l="1"/>
  <c r="R99" i="1" s="1"/>
  <c r="T99" i="1" s="1"/>
  <c r="P100" i="1" l="1"/>
  <c r="R100" i="1" s="1"/>
  <c r="T100" i="1" s="1"/>
  <c r="P101" i="1" l="1"/>
  <c r="R101" i="1" s="1"/>
  <c r="T101" i="1" s="1"/>
  <c r="P102" i="1" l="1"/>
  <c r="R102" i="1" s="1"/>
  <c r="T102" i="1" s="1"/>
  <c r="P103" i="1" l="1"/>
  <c r="R103" i="1" l="1"/>
  <c r="T103" i="1" s="1"/>
  <c r="AM75" i="1"/>
  <c r="AM83" i="1" s="1"/>
  <c r="AM34" i="1"/>
  <c r="AM40" i="1" s="1"/>
  <c r="AM91" i="1" l="1"/>
  <c r="AM101" i="1" s="1"/>
  <c r="AM85" i="1"/>
  <c r="AM95" i="1" s="1"/>
  <c r="AM79" i="1"/>
  <c r="AM89" i="1"/>
  <c r="AM99" i="1" s="1"/>
  <c r="AM87" i="1"/>
  <c r="AM97" i="1" s="1"/>
  <c r="AM46" i="1"/>
  <c r="AM56" i="1" s="1"/>
  <c r="AM48" i="1"/>
  <c r="AM58" i="1" s="1"/>
  <c r="AM44" i="1"/>
  <c r="AM54" i="1" s="1"/>
  <c r="AM42" i="1"/>
  <c r="AM52" i="1" s="1"/>
  <c r="P104" i="1"/>
  <c r="R104" i="1" l="1"/>
  <c r="T104" i="1" s="1"/>
  <c r="P105" i="1" l="1"/>
  <c r="R105" i="1" l="1"/>
  <c r="T105" i="1" s="1"/>
  <c r="P106" i="1" l="1"/>
  <c r="R106" i="1" l="1"/>
  <c r="T106" i="1" s="1"/>
  <c r="P107" i="1" l="1"/>
  <c r="R107" i="1" l="1"/>
  <c r="T107" i="1" s="1"/>
  <c r="P108" i="1" l="1"/>
  <c r="R108" i="1" l="1"/>
  <c r="T108" i="1" s="1"/>
  <c r="P109" i="1" l="1"/>
  <c r="R109" i="1" s="1"/>
  <c r="T109" i="1" s="1"/>
  <c r="P110" i="1" l="1"/>
  <c r="R110" i="1" s="1"/>
  <c r="T110" i="1" s="1"/>
  <c r="P111" i="1" l="1"/>
  <c r="R111" i="1" s="1"/>
  <c r="T111" i="1" s="1"/>
  <c r="P112" i="1" l="1"/>
  <c r="R112" i="1" s="1"/>
  <c r="T112" i="1" s="1"/>
  <c r="P113" i="1" l="1"/>
  <c r="R113" i="1" s="1"/>
  <c r="T113" i="1" s="1"/>
  <c r="P114" i="1" l="1"/>
  <c r="R114" i="1" s="1"/>
  <c r="T114" i="1" s="1"/>
  <c r="P115" i="1" l="1"/>
  <c r="R115" i="1" l="1"/>
  <c r="T115" i="1" s="1"/>
  <c r="AO34" i="1"/>
  <c r="AO40" i="1" s="1"/>
  <c r="AO75" i="1"/>
  <c r="AO83" i="1" s="1"/>
  <c r="AO44" i="1" l="1"/>
  <c r="AO54" i="1" s="1"/>
  <c r="AO48" i="1"/>
  <c r="AO58" i="1" s="1"/>
  <c r="AO42" i="1"/>
  <c r="AO52" i="1" s="1"/>
  <c r="AO46" i="1"/>
  <c r="AO56" i="1" s="1"/>
  <c r="AO91" i="1"/>
  <c r="AO101" i="1" s="1"/>
  <c r="AO89" i="1"/>
  <c r="AO99" i="1" s="1"/>
  <c r="AO79" i="1"/>
  <c r="AO87" i="1"/>
  <c r="AO97" i="1" s="1"/>
  <c r="AO85" i="1"/>
  <c r="AO95" i="1" s="1"/>
  <c r="P116" i="1"/>
  <c r="R116" i="1" l="1"/>
  <c r="T116" i="1" s="1"/>
  <c r="P117" i="1" l="1"/>
  <c r="R117" i="1" l="1"/>
  <c r="T117" i="1" s="1"/>
  <c r="P118" i="1" l="1"/>
  <c r="R118" i="1" l="1"/>
  <c r="T118" i="1" s="1"/>
  <c r="P119" i="1" l="1"/>
  <c r="R119" i="1" l="1"/>
  <c r="T119" i="1" s="1"/>
  <c r="P120" i="1" l="1"/>
  <c r="R120" i="1" l="1"/>
  <c r="T120" i="1" s="1"/>
  <c r="P121" i="1" l="1"/>
  <c r="R121" i="1" s="1"/>
  <c r="T121" i="1" s="1"/>
  <c r="P122" i="1" l="1"/>
  <c r="R122" i="1" s="1"/>
  <c r="T122" i="1" s="1"/>
  <c r="P123" i="1" l="1"/>
  <c r="R123" i="1" s="1"/>
  <c r="T123" i="1" s="1"/>
  <c r="P124" i="1" l="1"/>
  <c r="R124" i="1" s="1"/>
  <c r="T124" i="1" s="1"/>
  <c r="P125" i="1" l="1"/>
  <c r="R125" i="1" s="1"/>
  <c r="T125" i="1" s="1"/>
  <c r="P126" i="1" l="1"/>
  <c r="R126" i="1" s="1"/>
  <c r="T126" i="1" s="1"/>
  <c r="P127" i="1" l="1"/>
  <c r="R127" i="1" l="1"/>
  <c r="T127" i="1" s="1"/>
  <c r="AQ75" i="1"/>
  <c r="AQ83" i="1" s="1"/>
  <c r="AQ34" i="1"/>
  <c r="AQ40" i="1" s="1"/>
  <c r="P128" i="1" l="1"/>
  <c r="AQ42" i="1"/>
  <c r="AQ52" i="1" s="1"/>
  <c r="AQ46" i="1"/>
  <c r="AQ56" i="1" s="1"/>
  <c r="AQ48" i="1"/>
  <c r="AQ58" i="1" s="1"/>
  <c r="AQ44" i="1"/>
  <c r="AQ54" i="1" s="1"/>
  <c r="AQ91" i="1"/>
  <c r="AQ101" i="1" s="1"/>
  <c r="AQ85" i="1"/>
  <c r="AQ95" i="1" s="1"/>
  <c r="AQ79" i="1"/>
  <c r="AQ89" i="1"/>
  <c r="AQ99" i="1" s="1"/>
  <c r="AQ87" i="1"/>
  <c r="AQ97" i="1" s="1"/>
  <c r="R128" i="1" l="1"/>
  <c r="T128" i="1" s="1"/>
  <c r="P129" i="1" l="1"/>
  <c r="R129" i="1" l="1"/>
  <c r="T129" i="1" s="1"/>
  <c r="P130" i="1" l="1"/>
  <c r="R130" i="1" l="1"/>
  <c r="T130" i="1" s="1"/>
  <c r="P131" i="1" l="1"/>
  <c r="R131" i="1" l="1"/>
  <c r="T131" i="1" s="1"/>
  <c r="P132" i="1" l="1"/>
  <c r="R132" i="1" l="1"/>
  <c r="T132" i="1" s="1"/>
  <c r="P133" i="1" l="1"/>
  <c r="R133" i="1" s="1"/>
  <c r="T133" i="1" s="1"/>
  <c r="P134" i="1" l="1"/>
  <c r="R134" i="1" s="1"/>
  <c r="T134" i="1" s="1"/>
  <c r="P135" i="1" l="1"/>
  <c r="R135" i="1" s="1"/>
  <c r="T135" i="1" s="1"/>
  <c r="P136" i="1" l="1"/>
  <c r="R136" i="1" s="1"/>
  <c r="T136" i="1" s="1"/>
  <c r="P137" i="1" l="1"/>
  <c r="R137" i="1" s="1"/>
  <c r="T137" i="1" s="1"/>
  <c r="P138" i="1" l="1"/>
  <c r="R138" i="1" s="1"/>
  <c r="T138" i="1" s="1"/>
  <c r="P139" i="1" l="1"/>
  <c r="R139" i="1" l="1"/>
  <c r="T139" i="1" s="1"/>
  <c r="AS75" i="1"/>
  <c r="AS83" i="1" s="1"/>
  <c r="AS34" i="1"/>
  <c r="AS40" i="1" s="1"/>
  <c r="AS91" i="1" l="1"/>
  <c r="AS101" i="1" s="1"/>
  <c r="AS87" i="1"/>
  <c r="AS97" i="1" s="1"/>
  <c r="AS79" i="1"/>
  <c r="AS89" i="1"/>
  <c r="AS99" i="1" s="1"/>
  <c r="AS85" i="1"/>
  <c r="AS95" i="1" s="1"/>
  <c r="AS46" i="1"/>
  <c r="AS56" i="1" s="1"/>
  <c r="AS44" i="1"/>
  <c r="AS54" i="1" s="1"/>
  <c r="AS42" i="1"/>
  <c r="AS52" i="1" s="1"/>
  <c r="AS48" i="1"/>
  <c r="AS58" i="1" s="1"/>
  <c r="P140" i="1"/>
  <c r="R140" i="1" l="1"/>
  <c r="T140" i="1" s="1"/>
  <c r="P141" i="1" l="1"/>
  <c r="R141" i="1" l="1"/>
  <c r="T141" i="1" s="1"/>
  <c r="P142" i="1" l="1"/>
  <c r="R142" i="1" l="1"/>
  <c r="T142" i="1" s="1"/>
  <c r="P143" i="1" l="1"/>
  <c r="R143" i="1" l="1"/>
  <c r="T143" i="1" s="1"/>
  <c r="P144" i="1" l="1"/>
  <c r="R144" i="1" l="1"/>
  <c r="T144" i="1" s="1"/>
  <c r="P145" i="1" l="1"/>
  <c r="R145" i="1" s="1"/>
  <c r="T145" i="1" s="1"/>
  <c r="P146" i="1" l="1"/>
  <c r="R146" i="1" s="1"/>
  <c r="T146" i="1" s="1"/>
  <c r="P147" i="1" l="1"/>
  <c r="R147" i="1" s="1"/>
  <c r="T147" i="1" s="1"/>
  <c r="P148" i="1" l="1"/>
  <c r="R148" i="1" s="1"/>
  <c r="T148" i="1"/>
  <c r="P149" i="1" l="1"/>
  <c r="R149" i="1" s="1"/>
  <c r="T149" i="1" s="1"/>
  <c r="P150" i="1" l="1"/>
  <c r="R150" i="1" s="1"/>
  <c r="T150" i="1" s="1"/>
  <c r="P151" i="1" l="1"/>
  <c r="R151" i="1" l="1"/>
  <c r="T151" i="1" s="1"/>
  <c r="AU34" i="1"/>
  <c r="AU40" i="1" s="1"/>
  <c r="AU75" i="1"/>
  <c r="AU83" i="1" s="1"/>
  <c r="AU91" i="1" l="1"/>
  <c r="AU101" i="1" s="1"/>
  <c r="AU79" i="1"/>
  <c r="AU85" i="1"/>
  <c r="AU95" i="1" s="1"/>
  <c r="AU89" i="1"/>
  <c r="AU99" i="1" s="1"/>
  <c r="AU87" i="1"/>
  <c r="AU97" i="1" s="1"/>
  <c r="AU44" i="1"/>
  <c r="AU54" i="1" s="1"/>
  <c r="AU48" i="1"/>
  <c r="AU58" i="1" s="1"/>
  <c r="AU42" i="1"/>
  <c r="AU52" i="1" s="1"/>
  <c r="AU46" i="1"/>
  <c r="AU56" i="1" s="1"/>
  <c r="P152" i="1"/>
  <c r="R152" i="1" l="1"/>
  <c r="T152" i="1" s="1"/>
  <c r="P153" i="1" l="1"/>
  <c r="R153" i="1" l="1"/>
  <c r="T153" i="1" s="1"/>
  <c r="P154" i="1" l="1"/>
  <c r="R154" i="1" l="1"/>
  <c r="T154" i="1" s="1"/>
  <c r="P155" i="1" l="1"/>
  <c r="R155" i="1" l="1"/>
  <c r="T155" i="1" s="1"/>
  <c r="P156" i="1" l="1"/>
  <c r="R156" i="1" l="1"/>
  <c r="T156" i="1" s="1"/>
  <c r="P157" i="1" l="1"/>
  <c r="R157" i="1" s="1"/>
  <c r="T157" i="1"/>
  <c r="P158" i="1" l="1"/>
  <c r="R158" i="1" s="1"/>
  <c r="T158" i="1" s="1"/>
  <c r="P159" i="1" l="1"/>
  <c r="R159" i="1" s="1"/>
  <c r="T159" i="1" s="1"/>
  <c r="P160" i="1" l="1"/>
  <c r="R160" i="1" s="1"/>
  <c r="T160" i="1"/>
  <c r="P161" i="1" l="1"/>
  <c r="R161" i="1" s="1"/>
  <c r="T161" i="1" s="1"/>
  <c r="P162" i="1" l="1"/>
  <c r="R162" i="1" s="1"/>
  <c r="T162" i="1" s="1"/>
  <c r="P163" i="1" l="1"/>
  <c r="R163" i="1" l="1"/>
  <c r="T163" i="1" s="1"/>
  <c r="AW34" i="1"/>
  <c r="AW40" i="1" s="1"/>
  <c r="AW75" i="1"/>
  <c r="AW83" i="1" s="1"/>
  <c r="AW48" i="1" l="1"/>
  <c r="AW58" i="1" s="1"/>
  <c r="AW44" i="1"/>
  <c r="AW54" i="1" s="1"/>
  <c r="AW42" i="1"/>
  <c r="AW52" i="1" s="1"/>
  <c r="AW46" i="1"/>
  <c r="AW56" i="1" s="1"/>
  <c r="AW91" i="1"/>
  <c r="AW101" i="1" s="1"/>
  <c r="AW89" i="1"/>
  <c r="AW99" i="1" s="1"/>
  <c r="AW87" i="1"/>
  <c r="AW97" i="1" s="1"/>
  <c r="AW85" i="1"/>
  <c r="AW95" i="1" s="1"/>
  <c r="AW79" i="1"/>
  <c r="P164" i="1"/>
  <c r="R164" i="1" l="1"/>
  <c r="T164" i="1" s="1"/>
  <c r="P165" i="1" l="1"/>
  <c r="R165" i="1" l="1"/>
  <c r="T165" i="1" s="1"/>
  <c r="P166" i="1" l="1"/>
  <c r="R166" i="1" l="1"/>
  <c r="T166" i="1" s="1"/>
  <c r="P167" i="1" l="1"/>
  <c r="R167" i="1" l="1"/>
  <c r="T167" i="1" s="1"/>
  <c r="P168" i="1" l="1"/>
  <c r="R168" i="1" l="1"/>
  <c r="T168" i="1" s="1"/>
  <c r="P169" i="1" l="1"/>
  <c r="R169" i="1" s="1"/>
  <c r="T169" i="1" s="1"/>
  <c r="P170" i="1" l="1"/>
  <c r="R170" i="1" s="1"/>
  <c r="T170" i="1" s="1"/>
  <c r="P171" i="1" l="1"/>
  <c r="R171" i="1" s="1"/>
  <c r="T171" i="1" s="1"/>
  <c r="P172" i="1" l="1"/>
  <c r="R172" i="1" s="1"/>
  <c r="T172" i="1" s="1"/>
  <c r="P173" i="1" l="1"/>
  <c r="R173" i="1" s="1"/>
  <c r="T173" i="1" s="1"/>
  <c r="P174" i="1" l="1"/>
  <c r="R174" i="1" s="1"/>
  <c r="T174" i="1" s="1"/>
  <c r="P175" i="1" l="1"/>
  <c r="R175" i="1" l="1"/>
  <c r="T175" i="1" s="1"/>
  <c r="AY75" i="1"/>
  <c r="AY83" i="1" s="1"/>
  <c r="AY34" i="1"/>
  <c r="AY40" i="1" s="1"/>
  <c r="AY46" i="1" l="1"/>
  <c r="AY56" i="1" s="1"/>
  <c r="AY48" i="1"/>
  <c r="AY58" i="1" s="1"/>
  <c r="AY44" i="1"/>
  <c r="AY54" i="1" s="1"/>
  <c r="AY42" i="1"/>
  <c r="AY52" i="1" s="1"/>
  <c r="AY91" i="1"/>
  <c r="AY101" i="1" s="1"/>
  <c r="AY85" i="1"/>
  <c r="AY95" i="1" s="1"/>
  <c r="AY89" i="1"/>
  <c r="AY99" i="1" s="1"/>
  <c r="AY87" i="1"/>
  <c r="AY97" i="1" s="1"/>
  <c r="AY79" i="1"/>
  <c r="P176" i="1"/>
  <c r="R176" i="1" l="1"/>
  <c r="T176" i="1" s="1"/>
  <c r="P177" i="1" l="1"/>
  <c r="R177" i="1" l="1"/>
  <c r="T177" i="1" s="1"/>
  <c r="P178" i="1" l="1"/>
  <c r="R178" i="1" l="1"/>
  <c r="T178" i="1" s="1"/>
  <c r="P179" i="1" l="1"/>
  <c r="R179" i="1" l="1"/>
  <c r="T179" i="1" s="1"/>
  <c r="P180" i="1" l="1"/>
  <c r="R180" i="1" l="1"/>
  <c r="T180" i="1" s="1"/>
  <c r="P181" i="1" l="1"/>
  <c r="R181" i="1" s="1"/>
  <c r="T181" i="1" s="1"/>
  <c r="P182" i="1" l="1"/>
  <c r="R182" i="1" s="1"/>
  <c r="T182" i="1" s="1"/>
  <c r="P183" i="1" l="1"/>
  <c r="R183" i="1" s="1"/>
  <c r="T183" i="1" s="1"/>
  <c r="P184" i="1" l="1"/>
  <c r="R184" i="1" s="1"/>
  <c r="T184" i="1" s="1"/>
  <c r="P185" i="1" l="1"/>
  <c r="R185" i="1" s="1"/>
  <c r="T185" i="1" s="1"/>
  <c r="P186" i="1" l="1"/>
  <c r="R186" i="1" s="1"/>
  <c r="T186" i="1" s="1"/>
  <c r="P187" i="1" l="1"/>
  <c r="R187" i="1" l="1"/>
  <c r="T187" i="1" s="1"/>
  <c r="BA75" i="1"/>
  <c r="BA83" i="1" s="1"/>
  <c r="BA34" i="1"/>
  <c r="BA40" i="1" s="1"/>
  <c r="BA44" i="1" l="1"/>
  <c r="BA54" i="1" s="1"/>
  <c r="BA48" i="1"/>
  <c r="BA58" i="1" s="1"/>
  <c r="BA46" i="1"/>
  <c r="BA56" i="1" s="1"/>
  <c r="BA42" i="1"/>
  <c r="BA52" i="1" s="1"/>
  <c r="BA91" i="1"/>
  <c r="BA101" i="1" s="1"/>
  <c r="BA87" i="1"/>
  <c r="BA97" i="1" s="1"/>
  <c r="BA89" i="1"/>
  <c r="BA99" i="1" s="1"/>
  <c r="BA79" i="1"/>
  <c r="BA85" i="1"/>
  <c r="BA95" i="1" s="1"/>
  <c r="P188" i="1"/>
  <c r="R188" i="1" l="1"/>
  <c r="T188" i="1" s="1"/>
  <c r="P189" i="1" l="1"/>
  <c r="R189" i="1" l="1"/>
  <c r="T189" i="1" s="1"/>
  <c r="P190" i="1" l="1"/>
  <c r="R190" i="1" l="1"/>
  <c r="T190" i="1" s="1"/>
  <c r="P191" i="1" l="1"/>
  <c r="R191" i="1" l="1"/>
  <c r="T191" i="1" s="1"/>
  <c r="P192" i="1" l="1"/>
  <c r="R192" i="1" l="1"/>
  <c r="T192" i="1" s="1"/>
  <c r="P193" i="1" l="1"/>
  <c r="R193" i="1" s="1"/>
  <c r="T193" i="1"/>
  <c r="P194" i="1" l="1"/>
  <c r="R194" i="1" s="1"/>
  <c r="T194" i="1" s="1"/>
  <c r="P195" i="1" l="1"/>
  <c r="R195" i="1" s="1"/>
  <c r="T195" i="1"/>
  <c r="P196" i="1" l="1"/>
  <c r="R196" i="1" s="1"/>
  <c r="T196" i="1"/>
  <c r="P197" i="1" l="1"/>
  <c r="R197" i="1" s="1"/>
  <c r="T197" i="1"/>
  <c r="P198" i="1" l="1"/>
  <c r="R198" i="1" s="1"/>
  <c r="T198" i="1"/>
  <c r="P199" i="1" l="1"/>
  <c r="R199" i="1" l="1"/>
  <c r="T199" i="1" s="1"/>
  <c r="BC34" i="1"/>
  <c r="BC40" i="1" s="1"/>
  <c r="BC75" i="1"/>
  <c r="BC83" i="1" s="1"/>
  <c r="BC91" i="1" l="1"/>
  <c r="BC101" i="1" s="1"/>
  <c r="BC89" i="1"/>
  <c r="BC99" i="1" s="1"/>
  <c r="BC87" i="1"/>
  <c r="BC97" i="1" s="1"/>
  <c r="BC85" i="1"/>
  <c r="BC95" i="1" s="1"/>
  <c r="BC79" i="1"/>
  <c r="BC48" i="1"/>
  <c r="BC58" i="1" s="1"/>
  <c r="BC46" i="1"/>
  <c r="BC56" i="1" s="1"/>
  <c r="BC42" i="1"/>
  <c r="BC52" i="1" s="1"/>
  <c r="BC44" i="1"/>
  <c r="BC54" i="1" s="1"/>
  <c r="P200" i="1"/>
  <c r="R200" i="1" l="1"/>
  <c r="T200" i="1" s="1"/>
  <c r="P201" i="1" l="1"/>
  <c r="R201" i="1" l="1"/>
  <c r="T201" i="1" s="1"/>
  <c r="P202" i="1" l="1"/>
  <c r="R202" i="1" l="1"/>
  <c r="T202" i="1" s="1"/>
  <c r="P203" i="1" l="1"/>
  <c r="R203" i="1" l="1"/>
  <c r="T203" i="1" s="1"/>
  <c r="P204" i="1" l="1"/>
  <c r="R204" i="1" l="1"/>
  <c r="T204" i="1" s="1"/>
  <c r="P205" i="1" l="1"/>
  <c r="R205" i="1" s="1"/>
  <c r="T205" i="1" s="1"/>
  <c r="P206" i="1" l="1"/>
  <c r="R206" i="1" s="1"/>
  <c r="T206" i="1" s="1"/>
  <c r="P207" i="1" l="1"/>
  <c r="R207" i="1" s="1"/>
  <c r="T207" i="1" s="1"/>
  <c r="P208" i="1" l="1"/>
  <c r="R208" i="1" s="1"/>
  <c r="T208" i="1" s="1"/>
  <c r="P209" i="1" l="1"/>
  <c r="R209" i="1" s="1"/>
  <c r="T209" i="1" s="1"/>
  <c r="P210" i="1" l="1"/>
  <c r="R210" i="1" s="1"/>
  <c r="T210" i="1" s="1"/>
  <c r="P211" i="1" l="1"/>
  <c r="R211" i="1" l="1"/>
  <c r="T211" i="1" s="1"/>
  <c r="BE75" i="1"/>
  <c r="BE83" i="1" s="1"/>
  <c r="BE34" i="1"/>
  <c r="BE40" i="1" s="1"/>
  <c r="BE46" i="1" l="1"/>
  <c r="BE56" i="1" s="1"/>
  <c r="BE42" i="1"/>
  <c r="BE52" i="1" s="1"/>
  <c r="BE44" i="1"/>
  <c r="BE54" i="1" s="1"/>
  <c r="BE48" i="1"/>
  <c r="BE58" i="1" s="1"/>
  <c r="BE89" i="1"/>
  <c r="BE99" i="1" s="1"/>
  <c r="BE91" i="1"/>
  <c r="BE101" i="1" s="1"/>
  <c r="BE85" i="1"/>
  <c r="BE95" i="1" s="1"/>
  <c r="BE87" i="1"/>
  <c r="BE97" i="1" s="1"/>
  <c r="P212" i="1"/>
  <c r="R212" i="1" l="1"/>
  <c r="T212" i="1" s="1"/>
  <c r="P213" i="1" l="1"/>
  <c r="R213" i="1" l="1"/>
  <c r="T213" i="1" s="1"/>
  <c r="P214" i="1" l="1"/>
  <c r="R214" i="1" l="1"/>
  <c r="T214" i="1" s="1"/>
  <c r="P215" i="1" l="1"/>
  <c r="R215" i="1" l="1"/>
  <c r="T215" i="1" s="1"/>
  <c r="P216" i="1" l="1"/>
  <c r="R216" i="1" l="1"/>
  <c r="T216" i="1" s="1"/>
  <c r="P217" i="1" l="1"/>
  <c r="R217" i="1" s="1"/>
  <c r="T217" i="1" s="1"/>
  <c r="P218" i="1" l="1"/>
  <c r="R218" i="1" s="1"/>
  <c r="T218" i="1" s="1"/>
  <c r="P219" i="1" l="1"/>
  <c r="R219" i="1" s="1"/>
  <c r="T219" i="1"/>
  <c r="P220" i="1" l="1"/>
  <c r="R220" i="1" s="1"/>
  <c r="T220" i="1" s="1"/>
  <c r="P221" i="1" l="1"/>
  <c r="R221" i="1" s="1"/>
  <c r="T221" i="1"/>
  <c r="P222" i="1" l="1"/>
  <c r="R222" i="1" s="1"/>
  <c r="T222" i="1" s="1"/>
  <c r="P223" i="1" l="1"/>
  <c r="R223" i="1" l="1"/>
  <c r="T223" i="1" s="1"/>
  <c r="BG75" i="1"/>
  <c r="BG83" i="1" s="1"/>
  <c r="BG34" i="1"/>
  <c r="BG40" i="1" s="1"/>
  <c r="P224" i="1" l="1"/>
  <c r="BG42" i="1"/>
  <c r="BG52" i="1" s="1"/>
  <c r="BG44" i="1"/>
  <c r="BG54" i="1" s="1"/>
  <c r="BG48" i="1"/>
  <c r="BG58" i="1" s="1"/>
  <c r="BG46" i="1"/>
  <c r="BG56" i="1" s="1"/>
  <c r="BG91" i="1"/>
  <c r="BG101" i="1" s="1"/>
  <c r="BG85" i="1"/>
  <c r="BG95" i="1" s="1"/>
  <c r="BG87" i="1"/>
  <c r="BG97" i="1" s="1"/>
  <c r="BG89" i="1"/>
  <c r="BG99" i="1" s="1"/>
  <c r="R224" i="1" l="1"/>
  <c r="T224" i="1" s="1"/>
  <c r="P225" i="1" l="1"/>
  <c r="R225" i="1" l="1"/>
  <c r="T225" i="1" s="1"/>
  <c r="P226" i="1" l="1"/>
  <c r="R226" i="1" l="1"/>
  <c r="T226" i="1" s="1"/>
  <c r="P227" i="1" l="1"/>
  <c r="R227" i="1" l="1"/>
  <c r="T227" i="1" s="1"/>
  <c r="P228" i="1" l="1"/>
  <c r="R228" i="1" l="1"/>
  <c r="T228" i="1" s="1"/>
  <c r="P229" i="1" l="1"/>
  <c r="R229" i="1" s="1"/>
  <c r="T229" i="1" s="1"/>
  <c r="P230" i="1" l="1"/>
  <c r="R230" i="1" s="1"/>
  <c r="T230" i="1" s="1"/>
  <c r="P231" i="1" l="1"/>
  <c r="R231" i="1" s="1"/>
  <c r="T231" i="1" s="1"/>
  <c r="P232" i="1" l="1"/>
  <c r="R232" i="1" s="1"/>
  <c r="T232" i="1" s="1"/>
  <c r="P233" i="1" l="1"/>
  <c r="R233" i="1" s="1"/>
  <c r="T233" i="1" s="1"/>
  <c r="P234" i="1" l="1"/>
  <c r="R234" i="1" s="1"/>
  <c r="T234" i="1" s="1"/>
  <c r="P235" i="1" l="1"/>
  <c r="R235" i="1" l="1"/>
  <c r="T235" i="1" s="1"/>
  <c r="BI75" i="1"/>
  <c r="BI83" i="1" s="1"/>
  <c r="BI34" i="1"/>
  <c r="BI40" i="1" s="1"/>
  <c r="BI48" i="1" l="1"/>
  <c r="BI58" i="1" s="1"/>
  <c r="BI44" i="1"/>
  <c r="BI54" i="1" s="1"/>
  <c r="BI46" i="1"/>
  <c r="BI56" i="1" s="1"/>
  <c r="BI42" i="1"/>
  <c r="BI52" i="1" s="1"/>
  <c r="BI91" i="1"/>
  <c r="BI101" i="1" s="1"/>
  <c r="BI87" i="1"/>
  <c r="BI97" i="1" s="1"/>
  <c r="BI85" i="1"/>
  <c r="BI95" i="1" s="1"/>
  <c r="BI89" i="1"/>
  <c r="BI99" i="1" s="1"/>
  <c r="P236" i="1"/>
  <c r="R236" i="1" l="1"/>
  <c r="T236" i="1" s="1"/>
  <c r="P237" i="1" l="1"/>
  <c r="R237" i="1" l="1"/>
  <c r="T237" i="1" s="1"/>
  <c r="P238" i="1" l="1"/>
  <c r="R238" i="1" l="1"/>
  <c r="T238" i="1" s="1"/>
  <c r="P239" i="1" l="1"/>
  <c r="R239" i="1" l="1"/>
  <c r="T239" i="1" s="1"/>
  <c r="P240" i="1" l="1"/>
  <c r="R240" i="1" l="1"/>
  <c r="T240" i="1" s="1"/>
  <c r="P241" i="1" l="1"/>
  <c r="R241" i="1" s="1"/>
  <c r="T241" i="1"/>
  <c r="P242" i="1" l="1"/>
  <c r="R242" i="1" s="1"/>
  <c r="T242" i="1" s="1"/>
  <c r="P243" i="1" l="1"/>
  <c r="R243" i="1" s="1"/>
  <c r="T243" i="1" s="1"/>
  <c r="P244" i="1" l="1"/>
  <c r="R244" i="1" s="1"/>
  <c r="T244" i="1" s="1"/>
  <c r="P245" i="1" l="1"/>
  <c r="R245" i="1" s="1"/>
  <c r="T245" i="1" s="1"/>
  <c r="P246" i="1" l="1"/>
  <c r="R246" i="1" s="1"/>
  <c r="T246" i="1" s="1"/>
  <c r="P247" i="1" l="1"/>
  <c r="R247" i="1" l="1"/>
  <c r="T247" i="1" s="1"/>
  <c r="BK75" i="1"/>
  <c r="BK83" i="1" s="1"/>
  <c r="BK34" i="1"/>
  <c r="BK40" i="1" s="1"/>
  <c r="BK91" i="1" l="1"/>
  <c r="BK101" i="1" s="1"/>
  <c r="BK85" i="1"/>
  <c r="BK95" i="1" s="1"/>
  <c r="BK87" i="1"/>
  <c r="BK97" i="1" s="1"/>
  <c r="BK89" i="1"/>
  <c r="BK99" i="1" s="1"/>
  <c r="BK44" i="1"/>
  <c r="BK54" i="1" s="1"/>
  <c r="BK42" i="1"/>
  <c r="BK52" i="1" s="1"/>
  <c r="BK46" i="1"/>
  <c r="BK56" i="1" s="1"/>
  <c r="BK48" i="1"/>
  <c r="BK58" i="1" s="1"/>
  <c r="P248" i="1"/>
  <c r="R248" i="1" l="1"/>
  <c r="T248" i="1" s="1"/>
  <c r="P249" i="1" l="1"/>
  <c r="R249" i="1" l="1"/>
  <c r="T249" i="1" s="1"/>
  <c r="P250" i="1" l="1"/>
  <c r="R250" i="1" l="1"/>
  <c r="T250" i="1" s="1"/>
  <c r="P251" i="1" l="1"/>
  <c r="R251" i="1" l="1"/>
  <c r="T251" i="1" s="1"/>
  <c r="P252" i="1" l="1"/>
  <c r="R252" i="1" l="1"/>
  <c r="T252" i="1" s="1"/>
  <c r="P253" i="1" l="1"/>
  <c r="R253" i="1" s="1"/>
  <c r="T253" i="1" s="1"/>
  <c r="P254" i="1" l="1"/>
  <c r="R254" i="1" s="1"/>
  <c r="T254" i="1" s="1"/>
  <c r="P255" i="1" l="1"/>
  <c r="R255" i="1" s="1"/>
  <c r="T255" i="1" s="1"/>
  <c r="P256" i="1" l="1"/>
  <c r="R256" i="1" s="1"/>
  <c r="T256" i="1" s="1"/>
  <c r="P257" i="1" l="1"/>
  <c r="R257" i="1" s="1"/>
  <c r="T257" i="1" s="1"/>
  <c r="P258" i="1" l="1"/>
  <c r="R258" i="1" s="1"/>
  <c r="T258" i="1" s="1"/>
  <c r="P259" i="1" l="1"/>
  <c r="R259" i="1" l="1"/>
  <c r="T259" i="1" s="1"/>
  <c r="BM34" i="1"/>
  <c r="BM40" i="1" s="1"/>
  <c r="BM75" i="1"/>
  <c r="BM83" i="1" s="1"/>
  <c r="P260" i="1" l="1"/>
  <c r="BM91" i="1"/>
  <c r="BM101" i="1" s="1"/>
  <c r="BM89" i="1"/>
  <c r="BM99" i="1" s="1"/>
  <c r="BM87" i="1"/>
  <c r="BM97" i="1" s="1"/>
  <c r="BM85" i="1"/>
  <c r="BM95" i="1" s="1"/>
  <c r="BM42" i="1"/>
  <c r="BM52" i="1" s="1"/>
  <c r="BM46" i="1"/>
  <c r="BM56" i="1" s="1"/>
  <c r="BM44" i="1"/>
  <c r="BM54" i="1" s="1"/>
  <c r="BM48" i="1"/>
  <c r="BM58" i="1" s="1"/>
  <c r="R260" i="1" l="1"/>
  <c r="T260" i="1" s="1"/>
  <c r="P261" i="1" l="1"/>
  <c r="R261" i="1" l="1"/>
  <c r="T261" i="1" s="1"/>
  <c r="P262" i="1" l="1"/>
  <c r="R262" i="1" l="1"/>
  <c r="T262" i="1" s="1"/>
  <c r="P263" i="1" l="1"/>
  <c r="R263" i="1" l="1"/>
  <c r="T263" i="1" s="1"/>
  <c r="P264" i="1" l="1"/>
  <c r="R264" i="1" l="1"/>
  <c r="T264" i="1" s="1"/>
  <c r="P265" i="1" l="1"/>
  <c r="R265" i="1" s="1"/>
  <c r="T265" i="1"/>
  <c r="P266" i="1" l="1"/>
  <c r="R266" i="1" s="1"/>
  <c r="T266" i="1" s="1"/>
  <c r="P267" i="1" l="1"/>
  <c r="R267" i="1" s="1"/>
  <c r="T267" i="1" s="1"/>
  <c r="P268" i="1" l="1"/>
  <c r="R268" i="1" s="1"/>
  <c r="T268" i="1"/>
  <c r="P269" i="1" l="1"/>
  <c r="R269" i="1" s="1"/>
  <c r="T269" i="1" s="1"/>
  <c r="P270" i="1" l="1"/>
  <c r="R270" i="1" s="1"/>
  <c r="T270" i="1" s="1"/>
  <c r="P271" i="1" l="1"/>
  <c r="R271" i="1" l="1"/>
  <c r="T271" i="1" s="1"/>
  <c r="BO34" i="1"/>
  <c r="BO40" i="1" s="1"/>
  <c r="BO75" i="1"/>
  <c r="BO83" i="1" s="1"/>
  <c r="BO85" i="1" l="1"/>
  <c r="BO95" i="1" s="1"/>
  <c r="BO89" i="1"/>
  <c r="BO99" i="1" s="1"/>
  <c r="BO91" i="1"/>
  <c r="BO101" i="1" s="1"/>
  <c r="BO87" i="1"/>
  <c r="BO97" i="1" s="1"/>
  <c r="BO46" i="1"/>
  <c r="BO56" i="1" s="1"/>
  <c r="BO44" i="1"/>
  <c r="BO54" i="1" s="1"/>
  <c r="BO42" i="1"/>
  <c r="BO52" i="1" s="1"/>
  <c r="BO48" i="1"/>
  <c r="BO58" i="1" s="1"/>
  <c r="P272" i="1"/>
  <c r="R272" i="1" l="1"/>
  <c r="T272" i="1" s="1"/>
  <c r="P273" i="1" l="1"/>
  <c r="R273" i="1" l="1"/>
  <c r="T273" i="1" s="1"/>
  <c r="P274" i="1" l="1"/>
  <c r="R274" i="1" l="1"/>
  <c r="T274" i="1" s="1"/>
  <c r="P275" i="1" l="1"/>
  <c r="R275" i="1" l="1"/>
  <c r="T275" i="1" s="1"/>
  <c r="P276" i="1" l="1"/>
  <c r="R276" i="1" l="1"/>
  <c r="T276" i="1" s="1"/>
  <c r="P277" i="1" l="1"/>
  <c r="R277" i="1" s="1"/>
  <c r="T277" i="1" s="1"/>
  <c r="P278" i="1" l="1"/>
  <c r="R278" i="1" s="1"/>
  <c r="T278" i="1"/>
  <c r="P279" i="1" l="1"/>
  <c r="R279" i="1" s="1"/>
  <c r="T279" i="1" s="1"/>
  <c r="P280" i="1" l="1"/>
  <c r="R280" i="1" s="1"/>
  <c r="T280" i="1" s="1"/>
  <c r="P281" i="1" l="1"/>
  <c r="R281" i="1" s="1"/>
  <c r="T281" i="1" s="1"/>
  <c r="P282" i="1" l="1"/>
  <c r="R282" i="1" s="1"/>
  <c r="T282" i="1" s="1"/>
  <c r="P283" i="1" l="1"/>
  <c r="R283" i="1" l="1"/>
  <c r="T283" i="1" s="1"/>
  <c r="BQ34" i="1"/>
  <c r="BQ40" i="1" s="1"/>
  <c r="BQ75" i="1"/>
  <c r="BQ83" i="1" s="1"/>
  <c r="BQ87" i="1" l="1"/>
  <c r="BQ97" i="1" s="1"/>
  <c r="BQ91" i="1"/>
  <c r="BQ101" i="1" s="1"/>
  <c r="BQ85" i="1"/>
  <c r="BQ95" i="1" s="1"/>
  <c r="BQ89" i="1"/>
  <c r="BQ99" i="1" s="1"/>
  <c r="BQ44" i="1"/>
  <c r="BQ54" i="1" s="1"/>
  <c r="BQ48" i="1"/>
  <c r="BQ58" i="1" s="1"/>
  <c r="BQ46" i="1"/>
  <c r="BQ56" i="1" s="1"/>
  <c r="BQ42" i="1"/>
  <c r="BQ52" i="1" s="1"/>
  <c r="P284" i="1"/>
  <c r="R284" i="1" l="1"/>
  <c r="T284" i="1" s="1"/>
  <c r="P285" i="1" l="1"/>
  <c r="R285" i="1" l="1"/>
  <c r="T285" i="1" s="1"/>
  <c r="P286" i="1" l="1"/>
  <c r="R286" i="1" l="1"/>
  <c r="T286" i="1" s="1"/>
  <c r="P287" i="1" l="1"/>
  <c r="R287" i="1" l="1"/>
  <c r="T287" i="1" s="1"/>
  <c r="P288" i="1" l="1"/>
  <c r="R288" i="1" l="1"/>
  <c r="T288" i="1" s="1"/>
  <c r="P289" i="1" l="1"/>
  <c r="R289" i="1" s="1"/>
  <c r="T289" i="1" s="1"/>
  <c r="P290" i="1" l="1"/>
  <c r="R290" i="1" s="1"/>
  <c r="T290" i="1" s="1"/>
  <c r="P291" i="1" l="1"/>
  <c r="R291" i="1" s="1"/>
  <c r="T291" i="1" s="1"/>
  <c r="P292" i="1" l="1"/>
  <c r="R292" i="1" s="1"/>
  <c r="T292" i="1" s="1"/>
  <c r="P293" i="1" l="1"/>
  <c r="R293" i="1" s="1"/>
  <c r="T293" i="1" s="1"/>
  <c r="P294" i="1" l="1"/>
  <c r="R294" i="1" s="1"/>
  <c r="T294" i="1" s="1"/>
  <c r="P295" i="1" l="1"/>
  <c r="R295" i="1" l="1"/>
  <c r="T295" i="1" s="1"/>
  <c r="BS75" i="1"/>
  <c r="BS83" i="1" s="1"/>
  <c r="BS34" i="1"/>
  <c r="BS40" i="1" s="1"/>
  <c r="P296" i="1" l="1"/>
  <c r="BS48" i="1"/>
  <c r="BS58" i="1" s="1"/>
  <c r="BS46" i="1"/>
  <c r="BS56" i="1" s="1"/>
  <c r="BS44" i="1"/>
  <c r="BS54" i="1" s="1"/>
  <c r="BS42" i="1"/>
  <c r="BS52" i="1" s="1"/>
  <c r="BS91" i="1"/>
  <c r="BS101" i="1" s="1"/>
  <c r="BS85" i="1"/>
  <c r="BS95" i="1" s="1"/>
  <c r="BS89" i="1"/>
  <c r="BS99" i="1" s="1"/>
  <c r="BS87" i="1"/>
  <c r="BS97" i="1" s="1"/>
  <c r="R296" i="1" l="1"/>
  <c r="T296" i="1" s="1"/>
  <c r="P297" i="1" l="1"/>
  <c r="R297" i="1" l="1"/>
  <c r="T297" i="1" s="1"/>
  <c r="P298" i="1" l="1"/>
  <c r="R298" i="1" l="1"/>
  <c r="T298" i="1" s="1"/>
  <c r="P299" i="1" l="1"/>
  <c r="R299" i="1" l="1"/>
  <c r="T299" i="1" s="1"/>
  <c r="P300" i="1" l="1"/>
  <c r="R300" i="1" l="1"/>
  <c r="T300" i="1" s="1"/>
  <c r="P301" i="1" l="1"/>
  <c r="R301" i="1" s="1"/>
  <c r="T301" i="1"/>
  <c r="P302" i="1" l="1"/>
  <c r="R302" i="1" s="1"/>
  <c r="T302" i="1" s="1"/>
  <c r="P303" i="1" l="1"/>
  <c r="R303" i="1" s="1"/>
  <c r="T303" i="1" s="1"/>
  <c r="P304" i="1" l="1"/>
  <c r="R304" i="1" s="1"/>
  <c r="T304" i="1" s="1"/>
  <c r="P305" i="1" l="1"/>
  <c r="R305" i="1" s="1"/>
  <c r="T305" i="1" s="1"/>
  <c r="P306" i="1" l="1"/>
  <c r="R306" i="1" s="1"/>
  <c r="T306" i="1"/>
  <c r="P307" i="1" l="1"/>
  <c r="R307" i="1" l="1"/>
  <c r="T307" i="1" s="1"/>
  <c r="BU34" i="1"/>
  <c r="BU40" i="1" s="1"/>
  <c r="BU75" i="1"/>
  <c r="BU83" i="1" s="1"/>
  <c r="BU46" i="1" l="1"/>
  <c r="BU56" i="1" s="1"/>
  <c r="BU48" i="1"/>
  <c r="BU58" i="1" s="1"/>
  <c r="BU42" i="1"/>
  <c r="BU52" i="1" s="1"/>
  <c r="BU44" i="1"/>
  <c r="BU54" i="1" s="1"/>
  <c r="BU89" i="1"/>
  <c r="BU99" i="1" s="1"/>
  <c r="BU85" i="1"/>
  <c r="BU95" i="1" s="1"/>
  <c r="BU91" i="1"/>
  <c r="BU101" i="1" s="1"/>
  <c r="BU87" i="1"/>
  <c r="BU97" i="1" s="1"/>
  <c r="P308" i="1"/>
  <c r="R308" i="1" l="1"/>
  <c r="T308" i="1" s="1"/>
  <c r="P309" i="1" l="1"/>
  <c r="R309" i="1" l="1"/>
  <c r="T309" i="1" s="1"/>
  <c r="P310" i="1" l="1"/>
  <c r="R310" i="1" l="1"/>
  <c r="T310" i="1" s="1"/>
  <c r="P311" i="1" l="1"/>
  <c r="R311" i="1" l="1"/>
  <c r="T311" i="1" s="1"/>
  <c r="P312" i="1" l="1"/>
  <c r="R312" i="1" l="1"/>
  <c r="T312" i="1" s="1"/>
  <c r="P313" i="1" l="1"/>
  <c r="R313" i="1" s="1"/>
  <c r="T313" i="1" s="1"/>
  <c r="P314" i="1" l="1"/>
  <c r="R314" i="1" s="1"/>
  <c r="T314" i="1" s="1"/>
  <c r="P315" i="1" l="1"/>
  <c r="R315" i="1" s="1"/>
  <c r="T315" i="1" s="1"/>
  <c r="P316" i="1" l="1"/>
  <c r="R316" i="1" s="1"/>
  <c r="T316" i="1" s="1"/>
  <c r="P317" i="1" l="1"/>
  <c r="R317" i="1" s="1"/>
  <c r="T317" i="1" s="1"/>
  <c r="P318" i="1" l="1"/>
  <c r="R318" i="1" s="1"/>
  <c r="T318" i="1" s="1"/>
  <c r="P319" i="1" l="1"/>
  <c r="R319" i="1" l="1"/>
  <c r="T319" i="1" s="1"/>
  <c r="BW75" i="1"/>
  <c r="BW83" i="1" s="1"/>
  <c r="BW34" i="1"/>
  <c r="BW40" i="1" s="1"/>
  <c r="BW44" i="1" l="1"/>
  <c r="BW54" i="1" s="1"/>
  <c r="BW42" i="1"/>
  <c r="BW52" i="1" s="1"/>
  <c r="BW48" i="1"/>
  <c r="BW58" i="1" s="1"/>
  <c r="BW46" i="1"/>
  <c r="BW56" i="1" s="1"/>
  <c r="BW91" i="1"/>
  <c r="BW101" i="1" s="1"/>
  <c r="BW85" i="1"/>
  <c r="BW95" i="1" s="1"/>
  <c r="BW87" i="1"/>
  <c r="BW97" i="1" s="1"/>
  <c r="BW89" i="1"/>
  <c r="BW9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Kévin BOUGREL</author>
  </authors>
  <commentList>
    <comment ref="A31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Kévin BOUGREL: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<sst xmlns="http://schemas.openxmlformats.org/spreadsheetml/2006/main" count="116" uniqueCount="82">
  <si>
    <t>CALCUL RENTABILITÉ BRUTE</t>
  </si>
  <si>
    <t>PRIX D'ACHAT</t>
  </si>
  <si>
    <t>TRAVAUX EVENTUELS</t>
  </si>
  <si>
    <t>RENTABILITÉ BRUTE</t>
  </si>
  <si>
    <t>CALCUL RENTABILITÉ NETTE</t>
  </si>
  <si>
    <t>LOYER ANNUEL PERÇU (H.C)</t>
  </si>
  <si>
    <t>FRAIS DE NOTAIRE</t>
  </si>
  <si>
    <t>TAXE FONCIÈRE / MOIS</t>
  </si>
  <si>
    <t>CHARGES DE COPROPRIÉTÉ / MOIS</t>
  </si>
  <si>
    <t>ÉPARGNE IMPRÉVU / MOIS</t>
  </si>
  <si>
    <t>ASSURANCES / MOIS</t>
  </si>
  <si>
    <t>TAXE FONCIÈRE / AN</t>
  </si>
  <si>
    <t>CHARGES DE COPROPRIÉTÉ / AN</t>
  </si>
  <si>
    <t>FRAIS DE GÉRANCE / AN</t>
  </si>
  <si>
    <t>FRAIS DE COMPTABILITÉ / AN</t>
  </si>
  <si>
    <t>ÉPARGNE IMPRÉVU / AN</t>
  </si>
  <si>
    <t>ASSURANCES / AN</t>
  </si>
  <si>
    <t>FRAIS BANCAIRE</t>
  </si>
  <si>
    <t>RENTABILITÉ NETTE</t>
  </si>
  <si>
    <t>REVENU LOCATIF MENSUEL</t>
  </si>
  <si>
    <t>INTÉRÊTS D'EMPRUNT / AN</t>
  </si>
  <si>
    <t>COÛT MENSUEL CRÉDIT</t>
  </si>
  <si>
    <t>FRAIS DE GÉRANCE ET COMPTABILITÉ / MOIS</t>
  </si>
  <si>
    <t>IMPÔT À 14% + 17,2% PS (€/MOIS)</t>
  </si>
  <si>
    <t>IMPÔT À 30% + 17,2% PS (€/MOIS)</t>
  </si>
  <si>
    <t>IMPÔT À 41% + 17,2% PS (€/MOIS)</t>
  </si>
  <si>
    <t>IMPÔT À 45% + 17,2% PS (€/MOIS)</t>
  </si>
  <si>
    <t>MONTANT DU PRÊT DÉSIRÉ</t>
  </si>
  <si>
    <t>TAUX ANNUEL FIXE</t>
  </si>
  <si>
    <t>NOMBRE D'ÉCHÉANCE PAR ANNÉES</t>
  </si>
  <si>
    <t>NOMBRE D'ANNÉES DE PRÊT</t>
  </si>
  <si>
    <t>MENSUALITÉ DU PRÊT</t>
  </si>
  <si>
    <t>MENSUALITÉ</t>
  </si>
  <si>
    <t>INTERÊT</t>
  </si>
  <si>
    <t>AMORTISSEMENT</t>
  </si>
  <si>
    <t>SOLDE</t>
  </si>
  <si>
    <t>COÛT TOTAL EMPRUNT</t>
  </si>
  <si>
    <t>COÛT DES INTÉRÊTS</t>
  </si>
  <si>
    <t>ENTRETIEN DU BIEN / MOIS</t>
  </si>
  <si>
    <t xml:space="preserve">TABLEAU AMORTISSEMENT D'UN CRÉDIT BANCAIRE HORS ASSURANCES </t>
  </si>
  <si>
    <t>ANNÉES</t>
  </si>
  <si>
    <t>DATE DE MENSUALITÉ</t>
  </si>
  <si>
    <t>AUTRES CHARGES COURANTES DÉDUCTIBLES /AN</t>
  </si>
  <si>
    <t>REVENU ET CHARGES DU BIEN LOUÉ</t>
  </si>
  <si>
    <t>LOYERS PERÇUS/AN</t>
  </si>
  <si>
    <t>INTERÊTS DÉDUCTIBLES/AN</t>
  </si>
  <si>
    <t>REVENU FONCIER IMPOSABLE/AN</t>
  </si>
  <si>
    <t>CASH - FLOW SUIVANT IMPOSITION</t>
  </si>
  <si>
    <t>CASH - FLOW TRANCHE À 14%/MOIS</t>
  </si>
  <si>
    <t>CASH - FLOW TRANCHE À 30%/MOIS</t>
  </si>
  <si>
    <t>CASH - FLOW TRANCHE À 41%/MOIS</t>
  </si>
  <si>
    <t>CASH - FLOW TRANCHE À 45%/MOIS</t>
  </si>
  <si>
    <t>MEUBLES DÉDUCTIBLES/AN (Max 5000€/an/5ans)</t>
  </si>
  <si>
    <t>CHARGES COURANTES</t>
  </si>
  <si>
    <t>AMORTISSEMENT DU BIEN SUR 30 ANS</t>
  </si>
  <si>
    <t>AUTRES CHARGES COURANTES DÉDUCTIBLES /AN + AMORTISSEMENT DU BIEN</t>
  </si>
  <si>
    <t>DÉFICIT FONCIER REPORTABLE SUR 10 ANS (avec moins ou entre parenthèses rouge = déficit sinon chiffre normal = plus de déficit</t>
  </si>
  <si>
    <t>PLUS DE DÉFICIT FONCIER REPORTABLE CAR REPORT SUR 10 ANS MAXIMUM</t>
  </si>
  <si>
    <t>COÛT DES MEUBLES ACHAT/AN</t>
  </si>
  <si>
    <t xml:space="preserve">SI IMPÔT EN NEGATIF VEUILLEZ SOUSTRAIRE VOTRE TRANCHE IMPOSABLE A VOTRE CASH-FLOW POUR AVOIR LE CASH FLOW RÉEL EXEMPLE TRANCHE À 14% CASH-FLOW À 941,59 € ET 105,64€ D'IMPÔT = 941,59€-105,64€ = 835,95€ DE CASH-FLOW SI VOTRE IMPOSITION EST DANS LE POSITIF NE PAS TENIR COMPTE DE CETTE REMARQUE </t>
  </si>
  <si>
    <t>CALCUL DE L'IMPÔT FONCIER ET DES PRÉLÈVEMENTS SOCIAUX</t>
  </si>
  <si>
    <t>RESTAURANTS/AN (FRAIS DÉDUCTIBLES - BASE REPAS 100€ POUR DEUX )</t>
  </si>
  <si>
    <t>TRAVAUX DÉDUCTIBLES/AN (Max 10 ans)</t>
  </si>
  <si>
    <t>PUISSANCE ADMINISTRATIVE</t>
  </si>
  <si>
    <t>JUSQU'À 5000 KM</t>
  </si>
  <si>
    <t>DE 5001 KM À 20000 KM</t>
  </si>
  <si>
    <t>AU-DELÀ DE 20000 KM</t>
  </si>
  <si>
    <t xml:space="preserve">3CV ET MOINS </t>
  </si>
  <si>
    <t>4CV</t>
  </si>
  <si>
    <t>5CV</t>
  </si>
  <si>
    <t>6CV</t>
  </si>
  <si>
    <t>7CV ET PLUS</t>
  </si>
  <si>
    <t xml:space="preserve">BARÈME INDEMNITÉS KILOMÉTRIQUES (AU 01/01/2017) </t>
  </si>
  <si>
    <t>DISTANCE PARCOURUE EN KM ( d ) entre 1 et 5000 KM</t>
  </si>
  <si>
    <t>DISTANCE PARCOURUE EN KM ( d ) entre 5001 et 20000 KM</t>
  </si>
  <si>
    <t>DISTANCE PARCOURUE EN KM ( d ) au delà de 20000 KM</t>
  </si>
  <si>
    <t>MONTANT À VENIR DÉDUIRE AU LMNP EN IK SUIVANT LA PUISSANCE FISCALE DU VÉHICULE ET LES KM PARCOURUS</t>
  </si>
  <si>
    <t>INDEMNITÉS KILOMÉTRIQUE POUR 3000KM À PLUS DE 7CV</t>
  </si>
  <si>
    <t xml:space="preserve">CALCUL IMPOSITION (REVENU + PRÉLÈVEMENT SOCIAUX) EN NU AVEC ABATTEMENT DE 30% (MICRO-FONCIER) Max 15000€/an de loyers bruts charges comprises </t>
  </si>
  <si>
    <t>CALCUL IMPOSITION (REVENU + PRÉLÈVEMENT SOCIAUX) EN MEUBLÉ AVEC ABATTEMENT DE 50% (MICRO-BIC) Max 33200€/an de loyers bruts charges comprises</t>
  </si>
  <si>
    <t xml:space="preserve">CALCUL IMPOSITION (REVENU + PRÉLÈVEMENT SOCIAUX) EN RÉEL NON MEUBLÉ - CASE TRAVAUX A VOUS DE DIVISER VOS TRAVAUX SUR 10 ANS SANS DÉPASSER LES 10700€ / AN EN FONCTION DE CE QUE VOUS AVEZ RENTRÉ EN CASE G7 DES DONNÉES DU BIEN </t>
  </si>
  <si>
    <t xml:space="preserve">CALCUL IMPOSITION (REVENU + PRÉLÈVEMENT SOCIAUX) EN RÉEL MEUBLÉ LMNP - CASE TRAVAUX A VOUS DE DIVISER VOS TRAVAUX SUR 10 ANS SANS DÉPASSER LES 10700€ / AN EN FONCTION DE CE QUE VOUS AVEZ RENTRÉ EN CASE G7 DES DONNÉES DU BIEN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</si>
</sst>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_);[Red]\(#,##0\ &quot;€&quot;\)"/>
    <numFmt numFmtId="165" formatCode="#,##0.00\ &quot;€&quot;_);[Red]\(#,##0.00\ &quot;€&quot;\)"/>
    <numFmt numFmtId="166" formatCode="#,##0.00\ &quot;€&quot;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scheme val="minor"/>
    </font>
    <font>
      <b/>
      <sz val="14"/>
      <color rgb="FFFF0000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scheme val="minor"/>
    </font>
    <font>
      <sz val="24"/>
      <color theme="1"/>
      <name val="Calibri"/>
      <scheme val="minor"/>
    </font>
    <font>
      <b/>
      <sz val="24"/>
      <color theme="1"/>
      <name val="Calibri"/>
      <scheme val="minor"/>
    </font>
    <font>
      <b/>
      <sz val="24"/>
      <color theme="0"/>
      <name val="Calibri"/>
      <scheme val="minor"/>
    </font>
    <font>
      <sz val="24"/>
      <color rgb="FFFF0000"/>
      <name val="Calibri"/>
      <scheme val="minor"/>
    </font>
    <font>
      <b/>
      <sz val="24"/>
      <color rgb="FFFF0000"/>
      <name val="Calibri"/>
      <scheme val="minor"/>
    </font>
    <font>
      <sz val="12"/>
      <name val="Calibri"/>
      <scheme val="minor"/>
    </font>
    <font>
      <sz val="9"/>
      <color theme="1"/>
      <name val="Calibri"/>
      <scheme val="minor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b/>
      <sz val="16"/>
      <name val="Calibri"/>
      <scheme val="minor"/>
    </font>
    <font>
      <b/>
      <sz val="16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E8F9"/>
        <bgColor rgb="FF000000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rgb="FF000000"/>
      </right>
      <top style="thick">
        <color auto="1"/>
      </top>
      <bottom/>
      <diagonal/>
    </border>
    <border>
      <left/>
      <right style="thick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rgb="FF000000"/>
      </right>
      <top style="thin">
        <color auto="1"/>
      </top>
      <bottom/>
      <diagonal/>
    </border>
    <border>
      <left/>
      <right style="thick">
        <color rgb="FF000000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rgb="FF000000"/>
      </left>
      <right/>
      <top style="thick">
        <color auto="1"/>
      </top>
      <bottom/>
      <diagonal/>
    </border>
    <border>
      <left style="thick">
        <color rgb="FF000000"/>
      </left>
      <right/>
      <top/>
      <bottom style="thick">
        <color auto="1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horizontal="center" vertical="center"/>
    </xf>
    <xf numFmtId="0" fontId="0" fillId="4" borderId="38" xfId="0" applyFill="1" applyBorder="1" applyAlignment="1"/>
    <xf numFmtId="0" fontId="0" fillId="4" borderId="39" xfId="0" applyFill="1" applyBorder="1" applyAlignment="1"/>
    <xf numFmtId="0" fontId="10" fillId="0" borderId="0" xfId="0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164" fontId="0" fillId="0" borderId="55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65" fontId="0" fillId="0" borderId="55" xfId="0" applyNumberFormat="1" applyBorder="1" applyAlignment="1">
      <alignment horizontal="center" vertical="center"/>
    </xf>
    <xf numFmtId="166" fontId="0" fillId="0" borderId="55" xfId="0" applyNumberFormat="1" applyBorder="1" applyAlignment="1">
      <alignment horizontal="center" vertical="center"/>
    </xf>
    <xf numFmtId="165" fontId="0" fillId="0" borderId="63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165" fontId="0" fillId="0" borderId="44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33" xfId="0" applyNumberFormat="1" applyBorder="1" applyAlignment="1">
      <alignment horizontal="center" vertical="center"/>
    </xf>
    <xf numFmtId="166" fontId="0" fillId="0" borderId="34" xfId="0" applyNumberFormat="1" applyBorder="1" applyAlignment="1">
      <alignment horizontal="center" vertical="center"/>
    </xf>
    <xf numFmtId="166" fontId="0" fillId="0" borderId="28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166" fontId="0" fillId="0" borderId="33" xfId="0" applyNumberFormat="1" applyBorder="1" applyAlignment="1" applyProtection="1">
      <alignment horizontal="center" vertical="center"/>
      <protection locked="0"/>
    </xf>
    <xf numFmtId="166" fontId="0" fillId="0" borderId="30" xfId="0" applyNumberFormat="1" applyBorder="1" applyAlignment="1" applyProtection="1">
      <alignment horizontal="center" vertical="center"/>
      <protection locked="0"/>
    </xf>
    <xf numFmtId="166" fontId="0" fillId="0" borderId="34" xfId="0" applyNumberFormat="1" applyBorder="1" applyAlignment="1" applyProtection="1">
      <alignment horizontal="center" vertical="center"/>
      <protection locked="0"/>
    </xf>
    <xf numFmtId="166" fontId="0" fillId="0" borderId="28" xfId="0" applyNumberFormat="1" applyBorder="1" applyAlignment="1" applyProtection="1">
      <alignment horizontal="center" vertical="center"/>
      <protection locked="0"/>
    </xf>
    <xf numFmtId="166" fontId="0" fillId="0" borderId="25" xfId="0" applyNumberFormat="1" applyBorder="1" applyAlignment="1" applyProtection="1">
      <alignment horizontal="center" vertical="center"/>
      <protection locked="0"/>
    </xf>
    <xf numFmtId="166" fontId="0" fillId="0" borderId="26" xfId="0" applyNumberFormat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165" fontId="0" fillId="0" borderId="33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6" fontId="0" fillId="0" borderId="14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54" xfId="0" applyNumberFormat="1" applyBorder="1" applyAlignment="1">
      <alignment horizontal="center" vertical="center"/>
    </xf>
    <xf numFmtId="0" fontId="16" fillId="3" borderId="16" xfId="0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0" fontId="0" fillId="3" borderId="59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52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left" vertical="center"/>
    </xf>
    <xf numFmtId="0" fontId="14" fillId="7" borderId="8" xfId="0" applyFont="1" applyFill="1" applyBorder="1" applyAlignment="1">
      <alignment horizontal="left" vertical="center"/>
    </xf>
    <xf numFmtId="0" fontId="14" fillId="7" borderId="53" xfId="0" applyFont="1" applyFill="1" applyBorder="1" applyAlignment="1">
      <alignment horizontal="left" vertical="center"/>
    </xf>
    <xf numFmtId="0" fontId="0" fillId="7" borderId="59" xfId="0" applyFill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7" borderId="60" xfId="0" applyFill="1" applyBorder="1" applyAlignment="1">
      <alignment horizontal="center"/>
    </xf>
    <xf numFmtId="0" fontId="0" fillId="7" borderId="58" xfId="0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66" fontId="0" fillId="0" borderId="53" xfId="0" applyNumberFormat="1" applyBorder="1" applyAlignment="1">
      <alignment horizontal="center" vertical="center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52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53" xfId="0" applyFont="1" applyFill="1" applyBorder="1" applyAlignment="1">
      <alignment horizontal="left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59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6" fontId="0" fillId="0" borderId="56" xfId="0" applyNumberFormat="1" applyBorder="1" applyAlignment="1">
      <alignment horizontal="center" vertical="center"/>
    </xf>
    <xf numFmtId="166" fontId="0" fillId="0" borderId="58" xfId="0" applyNumberForma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0" borderId="4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166" fontId="10" fillId="0" borderId="14" xfId="0" applyNumberFormat="1" applyFont="1" applyBorder="1" applyAlignment="1">
      <alignment horizontal="center" vertical="center"/>
    </xf>
    <xf numFmtId="166" fontId="10" fillId="0" borderId="15" xfId="0" applyNumberFormat="1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166" fontId="0" fillId="0" borderId="54" xfId="0" applyNumberFormat="1" applyBorder="1" applyAlignment="1">
      <alignment horizontal="center"/>
    </xf>
    <xf numFmtId="166" fontId="0" fillId="0" borderId="56" xfId="0" applyNumberFormat="1" applyBorder="1" applyAlignment="1">
      <alignment horizontal="center"/>
    </xf>
    <xf numFmtId="165" fontId="0" fillId="0" borderId="54" xfId="0" applyNumberFormat="1" applyBorder="1" applyAlignment="1">
      <alignment horizontal="center"/>
    </xf>
    <xf numFmtId="165" fontId="0" fillId="0" borderId="49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52" xfId="0" applyNumberFormat="1" applyBorder="1" applyAlignment="1">
      <alignment horizontal="center"/>
    </xf>
    <xf numFmtId="165" fontId="0" fillId="0" borderId="61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61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4" fontId="0" fillId="0" borderId="48" xfId="0" applyNumberFormat="1" applyBorder="1" applyAlignment="1">
      <alignment horizontal="center"/>
    </xf>
    <xf numFmtId="14" fontId="0" fillId="0" borderId="49" xfId="0" applyNumberFormat="1" applyBorder="1" applyAlignment="1">
      <alignment horizontal="center"/>
    </xf>
    <xf numFmtId="14" fontId="0" fillId="0" borderId="62" xfId="0" applyNumberFormat="1" applyBorder="1" applyAlignment="1">
      <alignment horizontal="center"/>
    </xf>
    <xf numFmtId="14" fontId="0" fillId="0" borderId="61" xfId="0" applyNumberFormat="1" applyBorder="1" applyAlignment="1">
      <alignment horizontal="center"/>
    </xf>
    <xf numFmtId="0" fontId="11" fillId="5" borderId="6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65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6" fontId="10" fillId="0" borderId="27" xfId="0" applyNumberFormat="1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166" fontId="10" fillId="0" borderId="41" xfId="0" applyNumberFormat="1" applyFont="1" applyBorder="1" applyAlignment="1">
      <alignment horizontal="center" vertical="center"/>
    </xf>
    <xf numFmtId="166" fontId="10" fillId="0" borderId="28" xfId="0" applyNumberFormat="1" applyFont="1" applyBorder="1" applyAlignment="1">
      <alignment horizontal="center" vertical="center"/>
    </xf>
    <xf numFmtId="166" fontId="10" fillId="0" borderId="25" xfId="0" applyNumberFormat="1" applyFont="1" applyBorder="1" applyAlignment="1">
      <alignment horizontal="center" vertical="center"/>
    </xf>
    <xf numFmtId="166" fontId="10" fillId="0" borderId="42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66" fontId="10" fillId="0" borderId="33" xfId="0" applyNumberFormat="1" applyFont="1" applyBorder="1" applyAlignment="1">
      <alignment horizontal="center" vertical="center"/>
    </xf>
    <xf numFmtId="166" fontId="10" fillId="0" borderId="30" xfId="0" applyNumberFormat="1" applyFont="1" applyBorder="1" applyAlignment="1">
      <alignment horizontal="center" vertical="center"/>
    </xf>
    <xf numFmtId="166" fontId="10" fillId="0" borderId="46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65" fontId="0" fillId="0" borderId="33" xfId="0" applyNumberFormat="1" applyBorder="1" applyAlignment="1" applyProtection="1">
      <alignment horizontal="center" vertical="center"/>
      <protection locked="0"/>
    </xf>
    <xf numFmtId="165" fontId="0" fillId="0" borderId="30" xfId="0" applyNumberFormat="1" applyBorder="1" applyAlignment="1" applyProtection="1">
      <alignment horizontal="center" vertical="center"/>
      <protection locked="0"/>
    </xf>
    <xf numFmtId="165" fontId="0" fillId="0" borderId="34" xfId="0" applyNumberFormat="1" applyBorder="1" applyAlignment="1" applyProtection="1">
      <alignment horizontal="center" vertical="center"/>
      <protection locked="0"/>
    </xf>
    <xf numFmtId="165" fontId="0" fillId="0" borderId="28" xfId="0" applyNumberFormat="1" applyBorder="1" applyAlignment="1" applyProtection="1">
      <alignment horizontal="center" vertical="center"/>
      <protection locked="0"/>
    </xf>
    <xf numFmtId="165" fontId="0" fillId="0" borderId="25" xfId="0" applyNumberFormat="1" applyBorder="1" applyAlignment="1" applyProtection="1">
      <alignment horizontal="center" vertical="center"/>
      <protection locked="0"/>
    </xf>
    <xf numFmtId="165" fontId="0" fillId="0" borderId="26" xfId="0" applyNumberFormat="1" applyBorder="1" applyAlignment="1" applyProtection="1">
      <alignment horizontal="center" vertical="center"/>
      <protection locked="0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47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66" fontId="10" fillId="0" borderId="43" xfId="0" applyNumberFormat="1" applyFont="1" applyBorder="1" applyAlignment="1">
      <alignment horizontal="center" vertical="center"/>
    </xf>
    <xf numFmtId="166" fontId="10" fillId="0" borderId="22" xfId="0" applyNumberFormat="1" applyFont="1" applyBorder="1" applyAlignment="1">
      <alignment horizontal="center" vertical="center"/>
    </xf>
    <xf numFmtId="166" fontId="10" fillId="0" borderId="47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166" fontId="0" fillId="0" borderId="4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50" xfId="0" applyNumberFormat="1" applyBorder="1" applyAlignment="1">
      <alignment horizontal="center"/>
    </xf>
    <xf numFmtId="14" fontId="0" fillId="0" borderId="51" xfId="0" applyNumberForma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6" fontId="0" fillId="0" borderId="3" xfId="0" applyNumberFormat="1" applyBorder="1" applyAlignment="1" applyProtection="1">
      <alignment horizontal="center" vertical="center"/>
      <protection locked="0"/>
    </xf>
    <xf numFmtId="166" fontId="0" fillId="0" borderId="4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6" fontId="0" fillId="0" borderId="6" xfId="0" applyNumberFormat="1" applyBorder="1" applyAlignment="1" applyProtection="1">
      <alignment horizontal="center" vertical="center"/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10" fontId="0" fillId="0" borderId="6" xfId="1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10" fontId="3" fillId="3" borderId="1" xfId="1" applyNumberFormat="1" applyFont="1" applyFill="1" applyBorder="1" applyAlignment="1">
      <alignment horizontal="center" vertical="center"/>
    </xf>
    <xf numFmtId="10" fontId="3" fillId="3" borderId="6" xfId="1" applyNumberFormat="1" applyFont="1" applyFill="1" applyBorder="1" applyAlignment="1">
      <alignment horizontal="center" vertical="center"/>
    </xf>
    <xf numFmtId="10" fontId="3" fillId="3" borderId="11" xfId="1" applyNumberFormat="1" applyFont="1" applyFill="1" applyBorder="1" applyAlignment="1">
      <alignment horizontal="center" vertical="center"/>
    </xf>
    <xf numFmtId="10" fontId="3" fillId="3" borderId="12" xfId="1" applyNumberFormat="1" applyFont="1" applyFill="1" applyBorder="1" applyAlignment="1">
      <alignment horizontal="center" vertical="center"/>
    </xf>
    <xf numFmtId="165" fontId="0" fillId="0" borderId="14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166" fontId="0" fillId="11" borderId="1" xfId="0" applyNumberFormat="1" applyFill="1" applyBorder="1" applyAlignment="1">
      <alignment horizontal="center" vertical="center"/>
    </xf>
    <xf numFmtId="166" fontId="0" fillId="11" borderId="6" xfId="0" applyNumberFormat="1" applyFill="1" applyBorder="1" applyAlignment="1">
      <alignment horizontal="center" vertical="center"/>
    </xf>
    <xf numFmtId="166" fontId="0" fillId="11" borderId="8" xfId="0" applyNumberFormat="1" applyFill="1" applyBorder="1" applyAlignment="1">
      <alignment horizontal="center" vertical="center"/>
    </xf>
    <xf numFmtId="166" fontId="0" fillId="11" borderId="9" xfId="0" applyNumberFormat="1" applyFill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9" borderId="33" xfId="0" applyNumberFormat="1" applyFill="1" applyBorder="1" applyAlignment="1" applyProtection="1">
      <alignment horizontal="center" vertical="center"/>
      <protection locked="0"/>
    </xf>
    <xf numFmtId="0" fontId="0" fillId="9" borderId="30" xfId="0" applyNumberFormat="1" applyFill="1" applyBorder="1" applyAlignment="1" applyProtection="1">
      <alignment horizontal="center" vertical="center"/>
      <protection locked="0"/>
    </xf>
    <xf numFmtId="0" fontId="0" fillId="9" borderId="34" xfId="0" applyNumberFormat="1" applyFill="1" applyBorder="1" applyAlignment="1" applyProtection="1">
      <alignment horizontal="center" vertical="center"/>
      <protection locked="0"/>
    </xf>
    <xf numFmtId="0" fontId="0" fillId="9" borderId="28" xfId="0" applyNumberFormat="1" applyFill="1" applyBorder="1" applyAlignment="1" applyProtection="1">
      <alignment horizontal="center" vertical="center"/>
      <protection locked="0"/>
    </xf>
    <xf numFmtId="0" fontId="0" fillId="9" borderId="25" xfId="0" applyNumberFormat="1" applyFill="1" applyBorder="1" applyAlignment="1" applyProtection="1">
      <alignment horizontal="center" vertical="center"/>
      <protection locked="0"/>
    </xf>
    <xf numFmtId="0" fontId="0" fillId="9" borderId="26" xfId="0" applyNumberFormat="1" applyFill="1" applyBorder="1" applyAlignment="1" applyProtection="1">
      <alignment horizontal="center" vertical="center"/>
      <protection locked="0"/>
    </xf>
    <xf numFmtId="0" fontId="0" fillId="9" borderId="29" xfId="0" applyFill="1" applyBorder="1" applyAlignment="1">
      <alignment horizontal="left" vertical="center"/>
    </xf>
    <xf numFmtId="0" fontId="0" fillId="9" borderId="30" xfId="0" applyFill="1" applyBorder="1" applyAlignment="1">
      <alignment horizontal="left" vertical="center"/>
    </xf>
    <xf numFmtId="0" fontId="0" fillId="9" borderId="31" xfId="0" applyFill="1" applyBorder="1" applyAlignment="1">
      <alignment horizontal="left" vertical="center"/>
    </xf>
    <xf numFmtId="0" fontId="0" fillId="9" borderId="24" xfId="0" applyFill="1" applyBorder="1" applyAlignment="1">
      <alignment horizontal="left" vertical="center"/>
    </xf>
    <xf numFmtId="0" fontId="0" fillId="9" borderId="25" xfId="0" applyFill="1" applyBorder="1" applyAlignment="1">
      <alignment horizontal="left" vertical="center"/>
    </xf>
    <xf numFmtId="0" fontId="0" fillId="9" borderId="32" xfId="0" applyFill="1" applyBorder="1" applyAlignment="1">
      <alignment horizontal="left" vertical="center"/>
    </xf>
    <xf numFmtId="0" fontId="0" fillId="10" borderId="29" xfId="0" applyFill="1" applyBorder="1" applyAlignment="1">
      <alignment horizontal="left" vertical="center"/>
    </xf>
    <xf numFmtId="0" fontId="0" fillId="10" borderId="30" xfId="0" applyFill="1" applyBorder="1" applyAlignment="1">
      <alignment horizontal="left" vertical="center"/>
    </xf>
    <xf numFmtId="0" fontId="0" fillId="10" borderId="31" xfId="0" applyFill="1" applyBorder="1" applyAlignment="1">
      <alignment horizontal="left" vertical="center"/>
    </xf>
    <xf numFmtId="0" fontId="0" fillId="10" borderId="24" xfId="0" applyFill="1" applyBorder="1" applyAlignment="1">
      <alignment horizontal="left" vertical="center"/>
    </xf>
    <xf numFmtId="0" fontId="0" fillId="10" borderId="25" xfId="0" applyFill="1" applyBorder="1" applyAlignment="1">
      <alignment horizontal="left" vertical="center"/>
    </xf>
    <xf numFmtId="0" fontId="0" fillId="10" borderId="32" xfId="0" applyFill="1" applyBorder="1" applyAlignment="1">
      <alignment horizontal="left" vertical="center"/>
    </xf>
    <xf numFmtId="0" fontId="0" fillId="10" borderId="33" xfId="0" applyNumberFormat="1" applyFill="1" applyBorder="1" applyAlignment="1" applyProtection="1">
      <alignment horizontal="center" vertical="center"/>
      <protection locked="0"/>
    </xf>
    <xf numFmtId="0" fontId="0" fillId="10" borderId="30" xfId="0" applyNumberFormat="1" applyFill="1" applyBorder="1" applyAlignment="1" applyProtection="1">
      <alignment horizontal="center" vertical="center"/>
      <protection locked="0"/>
    </xf>
    <xf numFmtId="0" fontId="0" fillId="10" borderId="34" xfId="0" applyNumberFormat="1" applyFill="1" applyBorder="1" applyAlignment="1" applyProtection="1">
      <alignment horizontal="center" vertical="center"/>
      <protection locked="0"/>
    </xf>
    <xf numFmtId="0" fontId="0" fillId="10" borderId="28" xfId="0" applyNumberFormat="1" applyFill="1" applyBorder="1" applyAlignment="1" applyProtection="1">
      <alignment horizontal="center" vertical="center"/>
      <protection locked="0"/>
    </xf>
    <xf numFmtId="0" fontId="0" fillId="10" borderId="25" xfId="0" applyNumberFormat="1" applyFill="1" applyBorder="1" applyAlignment="1" applyProtection="1">
      <alignment horizontal="center" vertical="center"/>
      <protection locked="0"/>
    </xf>
    <xf numFmtId="0" fontId="0" fillId="10" borderId="26" xfId="0" applyNumberFormat="1" applyFill="1" applyBorder="1" applyAlignment="1" applyProtection="1">
      <alignment horizontal="center" vertical="center"/>
      <protection locked="0"/>
    </xf>
    <xf numFmtId="0" fontId="0" fillId="11" borderId="33" xfId="0" applyNumberFormat="1" applyFill="1" applyBorder="1" applyAlignment="1" applyProtection="1">
      <alignment horizontal="center" vertical="center"/>
      <protection locked="0"/>
    </xf>
    <xf numFmtId="0" fontId="0" fillId="11" borderId="30" xfId="0" applyNumberFormat="1" applyFill="1" applyBorder="1" applyAlignment="1" applyProtection="1">
      <alignment horizontal="center" vertical="center"/>
      <protection locked="0"/>
    </xf>
    <xf numFmtId="0" fontId="0" fillId="11" borderId="34" xfId="0" applyNumberFormat="1" applyFill="1" applyBorder="1" applyAlignment="1" applyProtection="1">
      <alignment horizontal="center" vertical="center"/>
      <protection locked="0"/>
    </xf>
    <xf numFmtId="0" fontId="0" fillId="11" borderId="28" xfId="0" applyNumberFormat="1" applyFill="1" applyBorder="1" applyAlignment="1" applyProtection="1">
      <alignment horizontal="center" vertical="center"/>
      <protection locked="0"/>
    </xf>
    <xf numFmtId="0" fontId="0" fillId="11" borderId="25" xfId="0" applyNumberFormat="1" applyFill="1" applyBorder="1" applyAlignment="1" applyProtection="1">
      <alignment horizontal="center" vertical="center"/>
      <protection locked="0"/>
    </xf>
    <xf numFmtId="0" fontId="0" fillId="11" borderId="26" xfId="0" applyNumberFormat="1" applyFill="1" applyBorder="1" applyAlignment="1" applyProtection="1">
      <alignment horizontal="center" vertical="center"/>
      <protection locked="0"/>
    </xf>
    <xf numFmtId="0" fontId="0" fillId="11" borderId="29" xfId="0" applyFill="1" applyBorder="1" applyAlignment="1">
      <alignment horizontal="left" vertical="center"/>
    </xf>
    <xf numFmtId="0" fontId="0" fillId="11" borderId="30" xfId="0" applyFill="1" applyBorder="1" applyAlignment="1">
      <alignment horizontal="left" vertical="center"/>
    </xf>
    <xf numFmtId="0" fontId="0" fillId="11" borderId="31" xfId="0" applyFill="1" applyBorder="1" applyAlignment="1">
      <alignment horizontal="left" vertical="center"/>
    </xf>
    <xf numFmtId="0" fontId="0" fillId="11" borderId="24" xfId="0" applyFill="1" applyBorder="1" applyAlignment="1">
      <alignment horizontal="left" vertical="center"/>
    </xf>
    <xf numFmtId="0" fontId="0" fillId="11" borderId="25" xfId="0" applyFill="1" applyBorder="1" applyAlignment="1">
      <alignment horizontal="left" vertical="center"/>
    </xf>
    <xf numFmtId="0" fontId="0" fillId="11" borderId="32" xfId="0" applyFill="1" applyBorder="1" applyAlignment="1">
      <alignment horizontal="left" vertical="center"/>
    </xf>
    <xf numFmtId="0" fontId="21" fillId="4" borderId="16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17" fillId="12" borderId="5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12" borderId="7" xfId="0" applyFont="1" applyFill="1" applyBorder="1" applyAlignment="1">
      <alignment horizontal="left" vertical="center"/>
    </xf>
    <xf numFmtId="0" fontId="9" fillId="12" borderId="8" xfId="0" applyFont="1" applyFill="1" applyBorder="1" applyAlignment="1">
      <alignment horizontal="left" vertical="center"/>
    </xf>
    <xf numFmtId="165" fontId="17" fillId="12" borderId="1" xfId="0" applyNumberFormat="1" applyFont="1" applyFill="1" applyBorder="1" applyAlignment="1" applyProtection="1">
      <alignment horizontal="center" vertical="center"/>
      <protection locked="0"/>
    </xf>
    <xf numFmtId="0" fontId="17" fillId="12" borderId="1" xfId="0" applyFont="1" applyFill="1" applyBorder="1" applyAlignment="1" applyProtection="1">
      <alignment horizontal="center" vertical="center"/>
      <protection locked="0"/>
    </xf>
    <xf numFmtId="0" fontId="17" fillId="12" borderId="6" xfId="0" applyFont="1" applyFill="1" applyBorder="1" applyAlignment="1" applyProtection="1">
      <alignment horizontal="center" vertical="center"/>
      <protection locked="0"/>
    </xf>
    <xf numFmtId="0" fontId="17" fillId="12" borderId="8" xfId="0" applyFont="1" applyFill="1" applyBorder="1" applyAlignment="1" applyProtection="1">
      <alignment horizontal="center" vertical="center"/>
      <protection locked="0"/>
    </xf>
    <xf numFmtId="0" fontId="17" fillId="12" borderId="9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166" fontId="0" fillId="12" borderId="1" xfId="0" applyNumberFormat="1" applyFill="1" applyBorder="1" applyAlignment="1">
      <alignment horizontal="center" vertical="center"/>
    </xf>
    <xf numFmtId="166" fontId="0" fillId="12" borderId="8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6" fontId="0" fillId="10" borderId="1" xfId="0" applyNumberFormat="1" applyFill="1" applyBorder="1" applyAlignment="1">
      <alignment horizontal="center" vertical="center"/>
    </xf>
    <xf numFmtId="166" fontId="0" fillId="10" borderId="8" xfId="0" applyNumberFormat="1" applyFill="1" applyBorder="1" applyAlignment="1">
      <alignment horizontal="center" vertical="center"/>
    </xf>
  </cellXfs>
  <cellStyles count="28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330200</xdr:colOff>
      <xdr:row>82</xdr:row>
      <xdr:rowOff>69850</xdr:rowOff>
    </xdr:from>
    <xdr:to>
      <xdr:col>6</xdr:col>
      <xdr:colOff>539750</xdr:colOff>
      <xdr:row>95</xdr:row>
      <xdr:rowOff>127000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E5B95A2-0857-4673-9216-51F8A50AD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8600" y="16675100"/>
          <a:ext cx="2647950" cy="264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rise">
      <a:dk1>
        <a:sysClr val="windowText" lastClr="000000"/>
      </a:dk1>
      <a:lt1>
        <a:sysClr val="window" lastClr="FFFFFF"/>
      </a:lt1>
      <a:dk2>
        <a:srgbClr val="09213B"/>
      </a:dk2>
      <a:lt2>
        <a:srgbClr val="D5EDF4"/>
      </a:lt2>
      <a:accent1>
        <a:srgbClr val="2C7C9F"/>
      </a:accent1>
      <a:accent2>
        <a:srgbClr val="244A58"/>
      </a:accent2>
      <a:accent3>
        <a:srgbClr val="E2751D"/>
      </a:accent3>
      <a:accent4>
        <a:srgbClr val="FFB400"/>
      </a:accent4>
      <a:accent5>
        <a:srgbClr val="7EB606"/>
      </a:accent5>
      <a:accent6>
        <a:srgbClr val="C00000"/>
      </a:accent6>
      <a:hlink>
        <a:srgbClr val="7030A0"/>
      </a:hlink>
      <a:folHlink>
        <a:srgbClr val="00B0F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343"/>
  <sheetViews>
    <sheetView tabSelected="1" topLeftCell="A75" workbookViewId="0">
      <selection activeCell="E81" sqref="E81"/>
    </sheetView>
  </sheetViews>
  <sheetFormatPr baseColWidth="10" defaultRowHeight="15.5" x14ac:dyDescent="0.35"/>
  <sheetData>
    <row r="1" spans="1:42" ht="16" customHeight="1" thickTop="1" x14ac:dyDescent="0.35">
      <c r="A1" s="258" t="s">
        <v>0</v>
      </c>
      <c r="B1" s="259"/>
      <c r="C1" s="259"/>
      <c r="D1" s="259"/>
      <c r="E1" s="259"/>
      <c r="F1" s="259"/>
      <c r="G1" s="259"/>
      <c r="H1" s="259"/>
      <c r="I1" s="259"/>
      <c r="J1" s="260"/>
      <c r="K1" s="1"/>
      <c r="L1" s="258" t="s">
        <v>39</v>
      </c>
      <c r="M1" s="259"/>
      <c r="N1" s="259"/>
      <c r="O1" s="259"/>
      <c r="P1" s="259"/>
      <c r="Q1" s="259"/>
      <c r="R1" s="259"/>
      <c r="S1" s="259"/>
      <c r="T1" s="259"/>
      <c r="U1" s="260"/>
      <c r="W1" s="204" t="s">
        <v>78</v>
      </c>
      <c r="X1" s="205"/>
      <c r="Y1" s="205"/>
      <c r="Z1" s="205"/>
      <c r="AA1" s="205"/>
      <c r="AB1" s="205"/>
      <c r="AC1" s="205"/>
      <c r="AD1" s="205"/>
      <c r="AE1" s="205"/>
      <c r="AF1" s="206"/>
      <c r="AG1" s="169" t="s">
        <v>79</v>
      </c>
      <c r="AH1" s="170"/>
      <c r="AI1" s="170"/>
      <c r="AJ1" s="170"/>
      <c r="AK1" s="170"/>
      <c r="AL1" s="170"/>
      <c r="AM1" s="170"/>
      <c r="AN1" s="170"/>
      <c r="AO1" s="170"/>
      <c r="AP1" s="171"/>
    </row>
    <row r="2" spans="1:42" ht="16" customHeight="1" thickBot="1" x14ac:dyDescent="0.4">
      <c r="A2" s="270"/>
      <c r="B2" s="271"/>
      <c r="C2" s="271"/>
      <c r="D2" s="271"/>
      <c r="E2" s="271"/>
      <c r="F2" s="271"/>
      <c r="G2" s="271"/>
      <c r="H2" s="271"/>
      <c r="I2" s="271"/>
      <c r="J2" s="272"/>
      <c r="K2" s="1"/>
      <c r="L2" s="261"/>
      <c r="M2" s="262"/>
      <c r="N2" s="262"/>
      <c r="O2" s="262"/>
      <c r="P2" s="262"/>
      <c r="Q2" s="262"/>
      <c r="R2" s="262"/>
      <c r="S2" s="262"/>
      <c r="T2" s="262"/>
      <c r="U2" s="263"/>
      <c r="W2" s="207"/>
      <c r="X2" s="208"/>
      <c r="Y2" s="208"/>
      <c r="Z2" s="208"/>
      <c r="AA2" s="208"/>
      <c r="AB2" s="208"/>
      <c r="AC2" s="208"/>
      <c r="AD2" s="208"/>
      <c r="AE2" s="208"/>
      <c r="AF2" s="209"/>
      <c r="AG2" s="172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42" ht="16" thickTop="1" x14ac:dyDescent="0.35">
      <c r="A3" s="273" t="s">
        <v>5</v>
      </c>
      <c r="B3" s="274"/>
      <c r="C3" s="274"/>
      <c r="D3" s="274"/>
      <c r="E3" s="274"/>
      <c r="F3" s="274"/>
      <c r="G3" s="277">
        <v>45000</v>
      </c>
      <c r="H3" s="277"/>
      <c r="I3" s="277"/>
      <c r="J3" s="278"/>
      <c r="L3" s="264" t="s">
        <v>27</v>
      </c>
      <c r="M3" s="120"/>
      <c r="N3" s="120"/>
      <c r="O3" s="120"/>
      <c r="P3" s="120"/>
      <c r="Q3" s="120"/>
      <c r="R3" s="245">
        <f>G5+G7+G27</f>
        <v>249600</v>
      </c>
      <c r="S3" s="245"/>
      <c r="T3" s="245"/>
      <c r="U3" s="246"/>
      <c r="W3" s="175" t="s">
        <v>23</v>
      </c>
      <c r="X3" s="176"/>
      <c r="Y3" s="176"/>
      <c r="Z3" s="176"/>
      <c r="AA3" s="176"/>
      <c r="AB3" s="177"/>
      <c r="AC3" s="180">
        <f>((G3*0.7)*0.312)/12</f>
        <v>818.99999999999989</v>
      </c>
      <c r="AD3" s="181"/>
      <c r="AE3" s="181"/>
      <c r="AF3" s="182"/>
      <c r="AG3" s="175" t="s">
        <v>23</v>
      </c>
      <c r="AH3" s="176"/>
      <c r="AI3" s="176"/>
      <c r="AJ3" s="176"/>
      <c r="AK3" s="176"/>
      <c r="AL3" s="177"/>
      <c r="AM3" s="180">
        <f>((G3*0.5)*0.312)/12</f>
        <v>585</v>
      </c>
      <c r="AN3" s="181"/>
      <c r="AO3" s="181"/>
      <c r="AP3" s="182"/>
    </row>
    <row r="4" spans="1:42" x14ac:dyDescent="0.35">
      <c r="A4" s="275"/>
      <c r="B4" s="276"/>
      <c r="C4" s="276"/>
      <c r="D4" s="276"/>
      <c r="E4" s="276"/>
      <c r="F4" s="276"/>
      <c r="G4" s="279"/>
      <c r="H4" s="279"/>
      <c r="I4" s="279"/>
      <c r="J4" s="280"/>
      <c r="L4" s="65"/>
      <c r="M4" s="66"/>
      <c r="N4" s="66"/>
      <c r="O4" s="66"/>
      <c r="P4" s="66"/>
      <c r="Q4" s="66"/>
      <c r="R4" s="247"/>
      <c r="S4" s="247"/>
      <c r="T4" s="247"/>
      <c r="U4" s="248"/>
      <c r="W4" s="178"/>
      <c r="X4" s="179"/>
      <c r="Y4" s="179"/>
      <c r="Z4" s="179"/>
      <c r="AA4" s="179"/>
      <c r="AB4" s="142"/>
      <c r="AC4" s="183"/>
      <c r="AD4" s="184"/>
      <c r="AE4" s="184"/>
      <c r="AF4" s="185"/>
      <c r="AG4" s="178"/>
      <c r="AH4" s="179"/>
      <c r="AI4" s="179"/>
      <c r="AJ4" s="179"/>
      <c r="AK4" s="179"/>
      <c r="AL4" s="142"/>
      <c r="AM4" s="183"/>
      <c r="AN4" s="184"/>
      <c r="AO4" s="184"/>
      <c r="AP4" s="185"/>
    </row>
    <row r="5" spans="1:42" x14ac:dyDescent="0.35">
      <c r="A5" s="275" t="s">
        <v>1</v>
      </c>
      <c r="B5" s="276"/>
      <c r="C5" s="276"/>
      <c r="D5" s="276"/>
      <c r="E5" s="276"/>
      <c r="F5" s="276"/>
      <c r="G5" s="279">
        <v>120000</v>
      </c>
      <c r="H5" s="279"/>
      <c r="I5" s="279"/>
      <c r="J5" s="280"/>
      <c r="L5" s="65" t="s">
        <v>28</v>
      </c>
      <c r="M5" s="66"/>
      <c r="N5" s="66"/>
      <c r="O5" s="66"/>
      <c r="P5" s="66"/>
      <c r="Q5" s="66"/>
      <c r="R5" s="249">
        <v>1.9E-2</v>
      </c>
      <c r="S5" s="249"/>
      <c r="T5" s="249"/>
      <c r="U5" s="250"/>
      <c r="W5" s="186" t="s">
        <v>24</v>
      </c>
      <c r="X5" s="187"/>
      <c r="Y5" s="187"/>
      <c r="Z5" s="187"/>
      <c r="AA5" s="187"/>
      <c r="AB5" s="188"/>
      <c r="AC5" s="189">
        <f>((G3*0.7)*0.472)/12</f>
        <v>1238.9999999999998</v>
      </c>
      <c r="AD5" s="190"/>
      <c r="AE5" s="190"/>
      <c r="AF5" s="191"/>
      <c r="AG5" s="186" t="s">
        <v>24</v>
      </c>
      <c r="AH5" s="187"/>
      <c r="AI5" s="187"/>
      <c r="AJ5" s="187"/>
      <c r="AK5" s="187"/>
      <c r="AL5" s="188"/>
      <c r="AM5" s="189">
        <f>((G3*0.5)*0.472)/12</f>
        <v>885</v>
      </c>
      <c r="AN5" s="190"/>
      <c r="AO5" s="190"/>
      <c r="AP5" s="191"/>
    </row>
    <row r="6" spans="1:42" x14ac:dyDescent="0.35">
      <c r="A6" s="275"/>
      <c r="B6" s="276"/>
      <c r="C6" s="276"/>
      <c r="D6" s="276"/>
      <c r="E6" s="276"/>
      <c r="F6" s="276"/>
      <c r="G6" s="279"/>
      <c r="H6" s="279"/>
      <c r="I6" s="279"/>
      <c r="J6" s="280"/>
      <c r="L6" s="65"/>
      <c r="M6" s="66"/>
      <c r="N6" s="66"/>
      <c r="O6" s="66"/>
      <c r="P6" s="66"/>
      <c r="Q6" s="66"/>
      <c r="R6" s="249"/>
      <c r="S6" s="249"/>
      <c r="T6" s="249"/>
      <c r="U6" s="250"/>
      <c r="W6" s="178"/>
      <c r="X6" s="179"/>
      <c r="Y6" s="179"/>
      <c r="Z6" s="179"/>
      <c r="AA6" s="179"/>
      <c r="AB6" s="142"/>
      <c r="AC6" s="183"/>
      <c r="AD6" s="184"/>
      <c r="AE6" s="184"/>
      <c r="AF6" s="185"/>
      <c r="AG6" s="178"/>
      <c r="AH6" s="179"/>
      <c r="AI6" s="179"/>
      <c r="AJ6" s="179"/>
      <c r="AK6" s="179"/>
      <c r="AL6" s="142"/>
      <c r="AM6" s="183"/>
      <c r="AN6" s="184"/>
      <c r="AO6" s="184"/>
      <c r="AP6" s="185"/>
    </row>
    <row r="7" spans="1:42" x14ac:dyDescent="0.35">
      <c r="A7" s="275" t="s">
        <v>2</v>
      </c>
      <c r="B7" s="276"/>
      <c r="C7" s="276"/>
      <c r="D7" s="276"/>
      <c r="E7" s="276"/>
      <c r="F7" s="276"/>
      <c r="G7" s="279">
        <v>120000</v>
      </c>
      <c r="H7" s="279"/>
      <c r="I7" s="279"/>
      <c r="J7" s="280"/>
      <c r="L7" s="65" t="s">
        <v>29</v>
      </c>
      <c r="M7" s="66"/>
      <c r="N7" s="66"/>
      <c r="O7" s="66"/>
      <c r="P7" s="66"/>
      <c r="Q7" s="66"/>
      <c r="R7" s="251">
        <v>12</v>
      </c>
      <c r="S7" s="251"/>
      <c r="T7" s="251"/>
      <c r="U7" s="252"/>
      <c r="W7" s="186" t="s">
        <v>25</v>
      </c>
      <c r="X7" s="187"/>
      <c r="Y7" s="187"/>
      <c r="Z7" s="187"/>
      <c r="AA7" s="187"/>
      <c r="AB7" s="188"/>
      <c r="AC7" s="189">
        <f>((G3*0.7)*0.582)/12</f>
        <v>1527.7499999999998</v>
      </c>
      <c r="AD7" s="190"/>
      <c r="AE7" s="190"/>
      <c r="AF7" s="191"/>
      <c r="AG7" s="186" t="s">
        <v>25</v>
      </c>
      <c r="AH7" s="187"/>
      <c r="AI7" s="187"/>
      <c r="AJ7" s="187"/>
      <c r="AK7" s="187"/>
      <c r="AL7" s="188"/>
      <c r="AM7" s="189">
        <f>((G3*0.5)*0.582)/12</f>
        <v>1091.25</v>
      </c>
      <c r="AN7" s="190"/>
      <c r="AO7" s="190"/>
      <c r="AP7" s="191"/>
    </row>
    <row r="8" spans="1:42" x14ac:dyDescent="0.35">
      <c r="A8" s="275"/>
      <c r="B8" s="276"/>
      <c r="C8" s="276"/>
      <c r="D8" s="276"/>
      <c r="E8" s="276"/>
      <c r="F8" s="276"/>
      <c r="G8" s="279"/>
      <c r="H8" s="279"/>
      <c r="I8" s="279"/>
      <c r="J8" s="280"/>
      <c r="L8" s="65"/>
      <c r="M8" s="66"/>
      <c r="N8" s="66"/>
      <c r="O8" s="66"/>
      <c r="P8" s="66"/>
      <c r="Q8" s="66"/>
      <c r="R8" s="251"/>
      <c r="S8" s="251"/>
      <c r="T8" s="251"/>
      <c r="U8" s="252"/>
      <c r="W8" s="178"/>
      <c r="X8" s="179"/>
      <c r="Y8" s="179"/>
      <c r="Z8" s="179"/>
      <c r="AA8" s="179"/>
      <c r="AB8" s="142"/>
      <c r="AC8" s="183"/>
      <c r="AD8" s="184"/>
      <c r="AE8" s="184"/>
      <c r="AF8" s="185"/>
      <c r="AG8" s="178"/>
      <c r="AH8" s="179"/>
      <c r="AI8" s="179"/>
      <c r="AJ8" s="179"/>
      <c r="AK8" s="179"/>
      <c r="AL8" s="142"/>
      <c r="AM8" s="183"/>
      <c r="AN8" s="184"/>
      <c r="AO8" s="184"/>
      <c r="AP8" s="185"/>
    </row>
    <row r="9" spans="1:42" x14ac:dyDescent="0.35">
      <c r="A9" s="281" t="s">
        <v>3</v>
      </c>
      <c r="B9" s="282"/>
      <c r="C9" s="282"/>
      <c r="D9" s="282"/>
      <c r="E9" s="282"/>
      <c r="F9" s="282"/>
      <c r="G9" s="285">
        <f>(G3/(G5+G7))</f>
        <v>0.1875</v>
      </c>
      <c r="H9" s="285"/>
      <c r="I9" s="285"/>
      <c r="J9" s="286"/>
      <c r="L9" s="65" t="s">
        <v>30</v>
      </c>
      <c r="M9" s="66"/>
      <c r="N9" s="66"/>
      <c r="O9" s="66"/>
      <c r="P9" s="66"/>
      <c r="Q9" s="66"/>
      <c r="R9" s="251">
        <v>25</v>
      </c>
      <c r="S9" s="251"/>
      <c r="T9" s="251"/>
      <c r="U9" s="252"/>
      <c r="W9" s="186" t="s">
        <v>26</v>
      </c>
      <c r="X9" s="187"/>
      <c r="Y9" s="187"/>
      <c r="Z9" s="187"/>
      <c r="AA9" s="187"/>
      <c r="AB9" s="188"/>
      <c r="AC9" s="189">
        <f>((G3*0.7)*0.622)/12</f>
        <v>1632.7499999999998</v>
      </c>
      <c r="AD9" s="190"/>
      <c r="AE9" s="190"/>
      <c r="AF9" s="191"/>
      <c r="AG9" s="186" t="s">
        <v>26</v>
      </c>
      <c r="AH9" s="187"/>
      <c r="AI9" s="187"/>
      <c r="AJ9" s="187"/>
      <c r="AK9" s="187"/>
      <c r="AL9" s="188"/>
      <c r="AM9" s="189">
        <f>((G3*0.5)*0.622)/12</f>
        <v>1166.25</v>
      </c>
      <c r="AN9" s="190"/>
      <c r="AO9" s="190"/>
      <c r="AP9" s="191"/>
    </row>
    <row r="10" spans="1:42" ht="16" thickBot="1" x14ac:dyDescent="0.4">
      <c r="A10" s="283"/>
      <c r="B10" s="284"/>
      <c r="C10" s="284"/>
      <c r="D10" s="284"/>
      <c r="E10" s="284"/>
      <c r="F10" s="284"/>
      <c r="G10" s="287"/>
      <c r="H10" s="287"/>
      <c r="I10" s="287"/>
      <c r="J10" s="288"/>
      <c r="L10" s="65"/>
      <c r="M10" s="66"/>
      <c r="N10" s="66"/>
      <c r="O10" s="66"/>
      <c r="P10" s="66"/>
      <c r="Q10" s="66"/>
      <c r="R10" s="251"/>
      <c r="S10" s="251"/>
      <c r="T10" s="251"/>
      <c r="U10" s="252"/>
      <c r="W10" s="210"/>
      <c r="X10" s="211"/>
      <c r="Y10" s="211"/>
      <c r="Z10" s="211"/>
      <c r="AA10" s="211"/>
      <c r="AB10" s="212"/>
      <c r="AC10" s="213"/>
      <c r="AD10" s="214"/>
      <c r="AE10" s="214"/>
      <c r="AF10" s="215"/>
      <c r="AG10" s="210"/>
      <c r="AH10" s="211"/>
      <c r="AI10" s="211"/>
      <c r="AJ10" s="211"/>
      <c r="AK10" s="211"/>
      <c r="AL10" s="212"/>
      <c r="AM10" s="213"/>
      <c r="AN10" s="214"/>
      <c r="AO10" s="214"/>
      <c r="AP10" s="215"/>
    </row>
    <row r="11" spans="1:42" ht="19" customHeight="1" thickTop="1" x14ac:dyDescent="0.35">
      <c r="A11" s="192" t="s">
        <v>4</v>
      </c>
      <c r="B11" s="193"/>
      <c r="C11" s="193"/>
      <c r="D11" s="193"/>
      <c r="E11" s="193"/>
      <c r="F11" s="193"/>
      <c r="G11" s="193"/>
      <c r="H11" s="193"/>
      <c r="I11" s="193"/>
      <c r="J11" s="194"/>
      <c r="L11" s="59" t="s">
        <v>36</v>
      </c>
      <c r="M11" s="60"/>
      <c r="N11" s="60"/>
      <c r="O11" s="60"/>
      <c r="P11" s="60"/>
      <c r="Q11" s="61"/>
      <c r="R11" s="51">
        <f>SUM(N20:O319)</f>
        <v>313749.32462305261</v>
      </c>
      <c r="S11" s="52"/>
      <c r="T11" s="52"/>
      <c r="U11" s="53"/>
      <c r="W11" s="147" t="s">
        <v>47</v>
      </c>
      <c r="X11" s="148"/>
      <c r="Y11" s="148"/>
      <c r="Z11" s="148"/>
      <c r="AA11" s="148"/>
      <c r="AB11" s="148"/>
      <c r="AC11" s="148"/>
      <c r="AD11" s="148"/>
      <c r="AE11" s="148"/>
      <c r="AF11" s="149"/>
      <c r="AG11" s="147" t="s">
        <v>47</v>
      </c>
      <c r="AH11" s="148"/>
      <c r="AI11" s="148"/>
      <c r="AJ11" s="148"/>
      <c r="AK11" s="148"/>
      <c r="AL11" s="148"/>
      <c r="AM11" s="148"/>
      <c r="AN11" s="148"/>
      <c r="AO11" s="148"/>
      <c r="AP11" s="149"/>
    </row>
    <row r="12" spans="1:42" ht="19" customHeight="1" thickBot="1" x14ac:dyDescent="0.4">
      <c r="A12" s="195"/>
      <c r="B12" s="196"/>
      <c r="C12" s="196"/>
      <c r="D12" s="196"/>
      <c r="E12" s="196"/>
      <c r="F12" s="196"/>
      <c r="G12" s="196"/>
      <c r="H12" s="196"/>
      <c r="I12" s="196"/>
      <c r="J12" s="197"/>
      <c r="L12" s="62"/>
      <c r="M12" s="63"/>
      <c r="N12" s="63"/>
      <c r="O12" s="63"/>
      <c r="P12" s="63"/>
      <c r="Q12" s="64"/>
      <c r="R12" s="54"/>
      <c r="S12" s="55"/>
      <c r="T12" s="55"/>
      <c r="U12" s="56"/>
      <c r="W12" s="150"/>
      <c r="X12" s="151"/>
      <c r="Y12" s="151"/>
      <c r="Z12" s="151"/>
      <c r="AA12" s="151"/>
      <c r="AB12" s="151"/>
      <c r="AC12" s="151"/>
      <c r="AD12" s="151"/>
      <c r="AE12" s="151"/>
      <c r="AF12" s="152"/>
      <c r="AG12" s="150"/>
      <c r="AH12" s="151"/>
      <c r="AI12" s="151"/>
      <c r="AJ12" s="151"/>
      <c r="AK12" s="151"/>
      <c r="AL12" s="151"/>
      <c r="AM12" s="151"/>
      <c r="AN12" s="151"/>
      <c r="AO12" s="151"/>
      <c r="AP12" s="152"/>
    </row>
    <row r="13" spans="1:42" ht="16" customHeight="1" thickTop="1" x14ac:dyDescent="0.35">
      <c r="A13" s="273" t="s">
        <v>11</v>
      </c>
      <c r="B13" s="274"/>
      <c r="C13" s="274"/>
      <c r="D13" s="274"/>
      <c r="E13" s="274"/>
      <c r="F13" s="274"/>
      <c r="G13" s="289">
        <v>1500</v>
      </c>
      <c r="H13" s="289"/>
      <c r="I13" s="289"/>
      <c r="J13" s="290"/>
      <c r="L13" s="59" t="s">
        <v>37</v>
      </c>
      <c r="M13" s="60"/>
      <c r="N13" s="60"/>
      <c r="O13" s="60"/>
      <c r="P13" s="60"/>
      <c r="Q13" s="61"/>
      <c r="R13" s="51">
        <f>R11-R3</f>
        <v>64149.324623052613</v>
      </c>
      <c r="S13" s="60"/>
      <c r="T13" s="60"/>
      <c r="U13" s="256"/>
      <c r="W13" s="130" t="s">
        <v>23</v>
      </c>
      <c r="X13" s="131"/>
      <c r="Y13" s="131"/>
      <c r="Z13" s="131"/>
      <c r="AA13" s="131"/>
      <c r="AB13" s="131"/>
      <c r="AC13" s="136">
        <f>((AA30/12)-R15-AC3-G39-G43-G45-G47-G49-G51)</f>
        <v>1046.835584589827</v>
      </c>
      <c r="AD13" s="136"/>
      <c r="AE13" s="136"/>
      <c r="AF13" s="137"/>
      <c r="AG13" s="142" t="s">
        <v>23</v>
      </c>
      <c r="AH13" s="131"/>
      <c r="AI13" s="131"/>
      <c r="AJ13" s="131"/>
      <c r="AK13" s="131"/>
      <c r="AL13" s="131"/>
      <c r="AM13" s="144">
        <f>((AA30/12)-R15-AM3-G39-G43-G45-G47-G49-G51)</f>
        <v>1280.835584589827</v>
      </c>
      <c r="AN13" s="144"/>
      <c r="AO13" s="144"/>
      <c r="AP13" s="145"/>
    </row>
    <row r="14" spans="1:42" ht="16" customHeight="1" x14ac:dyDescent="0.35">
      <c r="A14" s="275"/>
      <c r="B14" s="276"/>
      <c r="C14" s="276"/>
      <c r="D14" s="276"/>
      <c r="E14" s="276"/>
      <c r="F14" s="276"/>
      <c r="G14" s="291"/>
      <c r="H14" s="291"/>
      <c r="I14" s="291"/>
      <c r="J14" s="292"/>
      <c r="L14" s="62"/>
      <c r="M14" s="63"/>
      <c r="N14" s="63"/>
      <c r="O14" s="63"/>
      <c r="P14" s="63"/>
      <c r="Q14" s="64"/>
      <c r="R14" s="114"/>
      <c r="S14" s="63"/>
      <c r="T14" s="63"/>
      <c r="U14" s="257"/>
      <c r="W14" s="132"/>
      <c r="X14" s="133"/>
      <c r="Y14" s="133"/>
      <c r="Z14" s="133"/>
      <c r="AA14" s="133"/>
      <c r="AB14" s="133"/>
      <c r="AC14" s="138"/>
      <c r="AD14" s="138"/>
      <c r="AE14" s="138"/>
      <c r="AF14" s="139"/>
      <c r="AG14" s="143"/>
      <c r="AH14" s="133"/>
      <c r="AI14" s="133"/>
      <c r="AJ14" s="133"/>
      <c r="AK14" s="133"/>
      <c r="AL14" s="133"/>
      <c r="AM14" s="138"/>
      <c r="AN14" s="138"/>
      <c r="AO14" s="138"/>
      <c r="AP14" s="139"/>
    </row>
    <row r="15" spans="1:42" x14ac:dyDescent="0.35">
      <c r="A15" s="275" t="s">
        <v>12</v>
      </c>
      <c r="B15" s="276"/>
      <c r="C15" s="276"/>
      <c r="D15" s="276"/>
      <c r="E15" s="276"/>
      <c r="F15" s="276"/>
      <c r="G15" s="291">
        <v>1000</v>
      </c>
      <c r="H15" s="291"/>
      <c r="I15" s="291"/>
      <c r="J15" s="292"/>
      <c r="L15" s="241" t="s">
        <v>31</v>
      </c>
      <c r="M15" s="242"/>
      <c r="N15" s="242"/>
      <c r="O15" s="242"/>
      <c r="P15" s="242"/>
      <c r="Q15" s="242"/>
      <c r="R15" s="253">
        <f>-PMT(R5/12,R9*R7,R3,0,0)</f>
        <v>1045.8310820768397</v>
      </c>
      <c r="S15" s="242"/>
      <c r="T15" s="242"/>
      <c r="U15" s="254"/>
      <c r="W15" s="132" t="s">
        <v>24</v>
      </c>
      <c r="X15" s="133"/>
      <c r="Y15" s="133"/>
      <c r="Z15" s="133"/>
      <c r="AA15" s="133"/>
      <c r="AB15" s="133"/>
      <c r="AC15" s="138">
        <f>((AA30/12)-R15-AC5-G39-G43-G45-G47-G49-G51)</f>
        <v>626.83558458982714</v>
      </c>
      <c r="AD15" s="138"/>
      <c r="AE15" s="138"/>
      <c r="AF15" s="139"/>
      <c r="AG15" s="143" t="s">
        <v>24</v>
      </c>
      <c r="AH15" s="133"/>
      <c r="AI15" s="133"/>
      <c r="AJ15" s="133"/>
      <c r="AK15" s="133"/>
      <c r="AL15" s="133"/>
      <c r="AM15" s="138">
        <f>((AA30/12)-R15-AM5-G39-G43-G45-G47-G49-G51)</f>
        <v>980.83558458982691</v>
      </c>
      <c r="AN15" s="138"/>
      <c r="AO15" s="138"/>
      <c r="AP15" s="139"/>
    </row>
    <row r="16" spans="1:42" ht="16" thickBot="1" x14ac:dyDescent="0.4">
      <c r="A16" s="275"/>
      <c r="B16" s="276"/>
      <c r="C16" s="276"/>
      <c r="D16" s="276"/>
      <c r="E16" s="276"/>
      <c r="F16" s="276"/>
      <c r="G16" s="291"/>
      <c r="H16" s="291"/>
      <c r="I16" s="291"/>
      <c r="J16" s="292"/>
      <c r="L16" s="243"/>
      <c r="M16" s="244"/>
      <c r="N16" s="244"/>
      <c r="O16" s="244"/>
      <c r="P16" s="244"/>
      <c r="Q16" s="244"/>
      <c r="R16" s="244"/>
      <c r="S16" s="244"/>
      <c r="T16" s="244"/>
      <c r="U16" s="255"/>
      <c r="W16" s="132"/>
      <c r="X16" s="133"/>
      <c r="Y16" s="133"/>
      <c r="Z16" s="133"/>
      <c r="AA16" s="133"/>
      <c r="AB16" s="133"/>
      <c r="AC16" s="138"/>
      <c r="AD16" s="138"/>
      <c r="AE16" s="138"/>
      <c r="AF16" s="139"/>
      <c r="AG16" s="143"/>
      <c r="AH16" s="133"/>
      <c r="AI16" s="133"/>
      <c r="AJ16" s="133"/>
      <c r="AK16" s="133"/>
      <c r="AL16" s="133"/>
      <c r="AM16" s="138"/>
      <c r="AN16" s="138"/>
      <c r="AO16" s="138"/>
      <c r="AP16" s="139"/>
    </row>
    <row r="17" spans="1:78" ht="16.5" thickTop="1" thickBot="1" x14ac:dyDescent="0.4">
      <c r="A17" s="275" t="s">
        <v>13</v>
      </c>
      <c r="B17" s="276"/>
      <c r="C17" s="276"/>
      <c r="D17" s="276"/>
      <c r="E17" s="276"/>
      <c r="F17" s="276"/>
      <c r="G17" s="291">
        <f>(G3/100)*10</f>
        <v>4500</v>
      </c>
      <c r="H17" s="291"/>
      <c r="I17" s="291"/>
      <c r="J17" s="292"/>
      <c r="W17" s="132" t="s">
        <v>25</v>
      </c>
      <c r="X17" s="133"/>
      <c r="Y17" s="133"/>
      <c r="Z17" s="133"/>
      <c r="AA17" s="133"/>
      <c r="AB17" s="133"/>
      <c r="AC17" s="138">
        <f>((AA30/12)-R15-AC7-G39-G43-G45-G47-G49-G51)</f>
        <v>338.08558458982719</v>
      </c>
      <c r="AD17" s="138"/>
      <c r="AE17" s="138"/>
      <c r="AF17" s="139"/>
      <c r="AG17" s="143" t="s">
        <v>25</v>
      </c>
      <c r="AH17" s="133"/>
      <c r="AI17" s="133"/>
      <c r="AJ17" s="133"/>
      <c r="AK17" s="133"/>
      <c r="AL17" s="133"/>
      <c r="AM17" s="138">
        <f>((AA30/12)-R15-AM7-G39-G43-G45-G47-G49-G51)</f>
        <v>774.58558458982691</v>
      </c>
      <c r="AN17" s="138"/>
      <c r="AO17" s="138"/>
      <c r="AP17" s="139"/>
    </row>
    <row r="18" spans="1:78" ht="19.5" thickTop="1" thickBot="1" x14ac:dyDescent="0.5">
      <c r="A18" s="275"/>
      <c r="B18" s="276"/>
      <c r="C18" s="276"/>
      <c r="D18" s="276"/>
      <c r="E18" s="276"/>
      <c r="F18" s="276"/>
      <c r="G18" s="291"/>
      <c r="H18" s="291"/>
      <c r="I18" s="291"/>
      <c r="J18" s="292"/>
      <c r="L18" s="269" t="s">
        <v>41</v>
      </c>
      <c r="M18" s="239"/>
      <c r="N18" s="239" t="s">
        <v>32</v>
      </c>
      <c r="O18" s="239"/>
      <c r="P18" s="239" t="s">
        <v>33</v>
      </c>
      <c r="Q18" s="239"/>
      <c r="R18" s="239" t="s">
        <v>34</v>
      </c>
      <c r="S18" s="239"/>
      <c r="T18" s="239" t="s">
        <v>35</v>
      </c>
      <c r="U18" s="240"/>
      <c r="W18" s="132"/>
      <c r="X18" s="133"/>
      <c r="Y18" s="133"/>
      <c r="Z18" s="133"/>
      <c r="AA18" s="133"/>
      <c r="AB18" s="133"/>
      <c r="AC18" s="138"/>
      <c r="AD18" s="138"/>
      <c r="AE18" s="138"/>
      <c r="AF18" s="139"/>
      <c r="AG18" s="143"/>
      <c r="AH18" s="133"/>
      <c r="AI18" s="133"/>
      <c r="AJ18" s="133"/>
      <c r="AK18" s="133"/>
      <c r="AL18" s="133"/>
      <c r="AM18" s="138"/>
      <c r="AN18" s="138"/>
      <c r="AO18" s="138"/>
      <c r="AP18" s="139"/>
    </row>
    <row r="19" spans="1:78" ht="16.5" thickTop="1" thickBot="1" x14ac:dyDescent="0.4">
      <c r="A19" s="275" t="s">
        <v>14</v>
      </c>
      <c r="B19" s="276"/>
      <c r="C19" s="276"/>
      <c r="D19" s="276"/>
      <c r="E19" s="276"/>
      <c r="F19" s="276"/>
      <c r="G19" s="291">
        <v>960</v>
      </c>
      <c r="H19" s="291"/>
      <c r="I19" s="291"/>
      <c r="J19" s="292"/>
      <c r="L19" s="2"/>
      <c r="M19" s="268"/>
      <c r="N19" s="268"/>
      <c r="O19" s="268"/>
      <c r="P19" s="268"/>
      <c r="Q19" s="268"/>
      <c r="R19" s="268"/>
      <c r="S19" s="3"/>
      <c r="T19" s="266">
        <f>R3</f>
        <v>249600</v>
      </c>
      <c r="U19" s="267"/>
      <c r="W19" s="132" t="s">
        <v>26</v>
      </c>
      <c r="X19" s="133"/>
      <c r="Y19" s="133"/>
      <c r="Z19" s="133"/>
      <c r="AA19" s="133"/>
      <c r="AB19" s="133"/>
      <c r="AC19" s="138">
        <f>((AA30/12)-R15-AC9-G39-G43-G45-G47-G49-G51)</f>
        <v>233.08558458982719</v>
      </c>
      <c r="AD19" s="138"/>
      <c r="AE19" s="138"/>
      <c r="AF19" s="139"/>
      <c r="AG19" s="143" t="s">
        <v>26</v>
      </c>
      <c r="AH19" s="133"/>
      <c r="AI19" s="133"/>
      <c r="AJ19" s="133"/>
      <c r="AK19" s="133"/>
      <c r="AL19" s="133"/>
      <c r="AM19" s="138">
        <f>((AA30/12)-R15-AM9-G39-G43-G45-G47-G49-G51)</f>
        <v>699.58558458982691</v>
      </c>
      <c r="AN19" s="138"/>
      <c r="AO19" s="138"/>
      <c r="AP19" s="139"/>
    </row>
    <row r="20" spans="1:78" ht="16.5" thickTop="1" thickBot="1" x14ac:dyDescent="0.4">
      <c r="A20" s="275"/>
      <c r="B20" s="276"/>
      <c r="C20" s="276"/>
      <c r="D20" s="276"/>
      <c r="E20" s="276"/>
      <c r="F20" s="276"/>
      <c r="G20" s="291"/>
      <c r="H20" s="291"/>
      <c r="I20" s="291"/>
      <c r="J20" s="292"/>
      <c r="L20" s="167">
        <v>43191</v>
      </c>
      <c r="M20" s="168"/>
      <c r="N20" s="159">
        <f t="shared" ref="N20:N83" si="0">$R$15</f>
        <v>1045.8310820768397</v>
      </c>
      <c r="O20" s="160"/>
      <c r="P20" s="161">
        <f t="shared" ref="P20:P83" si="1">($R$5/$R$7)*T19</f>
        <v>395.2</v>
      </c>
      <c r="Q20" s="162"/>
      <c r="R20" s="159">
        <f>N20-P20</f>
        <v>650.63108207683968</v>
      </c>
      <c r="S20" s="160"/>
      <c r="T20" s="153">
        <f>T19-R20</f>
        <v>248949.36891792316</v>
      </c>
      <c r="U20" s="154"/>
      <c r="W20" s="134"/>
      <c r="X20" s="135"/>
      <c r="Y20" s="135"/>
      <c r="Z20" s="135"/>
      <c r="AA20" s="135"/>
      <c r="AB20" s="135"/>
      <c r="AC20" s="140"/>
      <c r="AD20" s="140"/>
      <c r="AE20" s="140"/>
      <c r="AF20" s="141"/>
      <c r="AG20" s="146"/>
      <c r="AH20" s="135"/>
      <c r="AI20" s="135"/>
      <c r="AJ20" s="135"/>
      <c r="AK20" s="135"/>
      <c r="AL20" s="135"/>
      <c r="AM20" s="140"/>
      <c r="AN20" s="140"/>
      <c r="AO20" s="140"/>
      <c r="AP20" s="141"/>
    </row>
    <row r="21" spans="1:78" ht="16" thickTop="1" x14ac:dyDescent="0.35">
      <c r="A21" s="275" t="s">
        <v>15</v>
      </c>
      <c r="B21" s="276"/>
      <c r="C21" s="276"/>
      <c r="D21" s="276"/>
      <c r="E21" s="276"/>
      <c r="F21" s="276"/>
      <c r="G21" s="291">
        <f>G5/100</f>
        <v>1200</v>
      </c>
      <c r="H21" s="291"/>
      <c r="I21" s="291"/>
      <c r="J21" s="292"/>
      <c r="L21" s="165">
        <v>43221</v>
      </c>
      <c r="M21" s="166"/>
      <c r="N21" s="155">
        <f t="shared" si="0"/>
        <v>1045.8310820768397</v>
      </c>
      <c r="O21" s="156"/>
      <c r="P21" s="153">
        <f t="shared" si="1"/>
        <v>394.16983412004498</v>
      </c>
      <c r="Q21" s="221"/>
      <c r="R21" s="155">
        <f t="shared" ref="R21:R84" si="2">N21-P21</f>
        <v>651.6612479567948</v>
      </c>
      <c r="S21" s="156"/>
      <c r="T21" s="153">
        <f t="shared" ref="T21:T84" si="3">T20-R21</f>
        <v>248297.70766996636</v>
      </c>
      <c r="U21" s="154"/>
      <c r="W21" s="4"/>
      <c r="X21" s="4"/>
      <c r="Y21" s="4"/>
      <c r="Z21" s="4"/>
      <c r="AA21" s="4"/>
      <c r="AB21" s="4"/>
      <c r="AC21" s="5"/>
      <c r="AD21" s="5"/>
      <c r="AE21" s="5"/>
      <c r="AF21" s="5"/>
      <c r="AG21" s="4"/>
      <c r="AH21" s="4"/>
      <c r="AI21" s="4"/>
      <c r="AJ21" s="4"/>
      <c r="AK21" s="4"/>
      <c r="AL21" s="4"/>
      <c r="AM21" s="6"/>
      <c r="AN21" s="6"/>
      <c r="AO21" s="6"/>
      <c r="AP21" s="6"/>
    </row>
    <row r="22" spans="1:78" x14ac:dyDescent="0.35">
      <c r="A22" s="275"/>
      <c r="B22" s="276"/>
      <c r="C22" s="276"/>
      <c r="D22" s="276"/>
      <c r="E22" s="276"/>
      <c r="F22" s="276"/>
      <c r="G22" s="291"/>
      <c r="H22" s="291"/>
      <c r="I22" s="291"/>
      <c r="J22" s="292"/>
      <c r="L22" s="165">
        <v>43252</v>
      </c>
      <c r="M22" s="166"/>
      <c r="N22" s="155">
        <f t="shared" si="0"/>
        <v>1045.8310820768397</v>
      </c>
      <c r="O22" s="156"/>
      <c r="P22" s="153">
        <f t="shared" si="1"/>
        <v>393.13803714411341</v>
      </c>
      <c r="Q22" s="221"/>
      <c r="R22" s="155">
        <f t="shared" si="2"/>
        <v>652.69304493272625</v>
      </c>
      <c r="S22" s="156"/>
      <c r="T22" s="153">
        <f>T21-R22</f>
        <v>247645.01462503363</v>
      </c>
      <c r="U22" s="154"/>
      <c r="W22" s="4"/>
      <c r="X22" s="4"/>
      <c r="Y22" s="4"/>
      <c r="Z22" s="4"/>
      <c r="AA22" s="4"/>
      <c r="AB22" s="4"/>
      <c r="AC22" s="5"/>
      <c r="AD22" s="5"/>
      <c r="AE22" s="5"/>
      <c r="AF22" s="5"/>
      <c r="AG22" s="4"/>
      <c r="AH22" s="4"/>
      <c r="AI22" s="4"/>
      <c r="AJ22" s="4"/>
      <c r="AK22" s="4"/>
      <c r="AL22" s="4"/>
      <c r="AM22" s="6"/>
      <c r="AN22" s="6"/>
      <c r="AO22" s="6"/>
      <c r="AP22" s="6"/>
    </row>
    <row r="23" spans="1:78" ht="16" customHeight="1" thickBot="1" x14ac:dyDescent="0.4">
      <c r="A23" s="275" t="s">
        <v>17</v>
      </c>
      <c r="B23" s="276"/>
      <c r="C23" s="276"/>
      <c r="D23" s="276"/>
      <c r="E23" s="276"/>
      <c r="F23" s="276"/>
      <c r="G23" s="291">
        <v>2000</v>
      </c>
      <c r="H23" s="291"/>
      <c r="I23" s="291"/>
      <c r="J23" s="292"/>
      <c r="L23" s="165">
        <v>43282</v>
      </c>
      <c r="M23" s="166"/>
      <c r="N23" s="155">
        <f t="shared" si="0"/>
        <v>1045.8310820768397</v>
      </c>
      <c r="O23" s="156"/>
      <c r="P23" s="153">
        <f t="shared" si="1"/>
        <v>392.10460648963658</v>
      </c>
      <c r="Q23" s="221"/>
      <c r="R23" s="155">
        <f t="shared" si="2"/>
        <v>653.72647558720314</v>
      </c>
      <c r="S23" s="156"/>
      <c r="T23" s="153">
        <f t="shared" si="3"/>
        <v>246991.28814944642</v>
      </c>
      <c r="U23" s="154"/>
      <c r="W23" s="4"/>
      <c r="X23" s="4"/>
      <c r="Y23" s="4"/>
      <c r="Z23" s="4"/>
      <c r="AA23" s="4"/>
      <c r="AB23" s="4"/>
      <c r="AC23" s="5"/>
      <c r="AD23" s="5"/>
      <c r="AE23" s="5"/>
      <c r="AF23" s="5"/>
      <c r="AG23" s="4"/>
      <c r="AH23" s="4"/>
      <c r="AI23" s="4"/>
      <c r="AJ23" s="4"/>
      <c r="AK23" s="4"/>
      <c r="AL23" s="4"/>
      <c r="AM23" s="6"/>
      <c r="AN23" s="6"/>
      <c r="AO23" s="6"/>
      <c r="AP23" s="6"/>
    </row>
    <row r="24" spans="1:78" ht="16" customHeight="1" thickTop="1" x14ac:dyDescent="0.35">
      <c r="A24" s="275"/>
      <c r="B24" s="276"/>
      <c r="C24" s="276"/>
      <c r="D24" s="276"/>
      <c r="E24" s="276"/>
      <c r="F24" s="276"/>
      <c r="G24" s="291"/>
      <c r="H24" s="291"/>
      <c r="I24" s="291"/>
      <c r="J24" s="292"/>
      <c r="L24" s="235">
        <v>43313</v>
      </c>
      <c r="M24" s="236"/>
      <c r="N24" s="157">
        <f t="shared" si="0"/>
        <v>1045.8310820768397</v>
      </c>
      <c r="O24" s="158"/>
      <c r="P24" s="216">
        <f t="shared" si="1"/>
        <v>391.06953956995682</v>
      </c>
      <c r="Q24" s="158"/>
      <c r="R24" s="157">
        <f t="shared" si="2"/>
        <v>654.76154250688296</v>
      </c>
      <c r="S24" s="158"/>
      <c r="T24" s="216">
        <f>T23-R24</f>
        <v>246336.52660693953</v>
      </c>
      <c r="U24" s="217"/>
      <c r="W24" s="108" t="s">
        <v>80</v>
      </c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10"/>
      <c r="BY24" s="116"/>
      <c r="BZ24" s="117"/>
    </row>
    <row r="25" spans="1:78" ht="16" thickBot="1" x14ac:dyDescent="0.4">
      <c r="A25" s="275" t="s">
        <v>16</v>
      </c>
      <c r="B25" s="276"/>
      <c r="C25" s="276"/>
      <c r="D25" s="276"/>
      <c r="E25" s="276"/>
      <c r="F25" s="276"/>
      <c r="G25" s="291">
        <v>300</v>
      </c>
      <c r="H25" s="291"/>
      <c r="I25" s="291"/>
      <c r="J25" s="292"/>
      <c r="L25" s="165">
        <v>43344</v>
      </c>
      <c r="M25" s="166"/>
      <c r="N25" s="157">
        <f t="shared" si="0"/>
        <v>1045.8310820768397</v>
      </c>
      <c r="O25" s="158"/>
      <c r="P25" s="216">
        <f t="shared" si="1"/>
        <v>390.03283379432094</v>
      </c>
      <c r="Q25" s="158"/>
      <c r="R25" s="157">
        <f t="shared" si="2"/>
        <v>655.79824828251878</v>
      </c>
      <c r="S25" s="158"/>
      <c r="T25" s="216">
        <f t="shared" si="3"/>
        <v>245680.72835865701</v>
      </c>
      <c r="U25" s="217"/>
      <c r="W25" s="111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3"/>
      <c r="BY25" s="118"/>
      <c r="BZ25" s="119"/>
    </row>
    <row r="26" spans="1:78" ht="16" thickTop="1" x14ac:dyDescent="0.35">
      <c r="A26" s="275"/>
      <c r="B26" s="276"/>
      <c r="C26" s="276"/>
      <c r="D26" s="276"/>
      <c r="E26" s="276"/>
      <c r="F26" s="276"/>
      <c r="G26" s="291"/>
      <c r="H26" s="291"/>
      <c r="I26" s="291"/>
      <c r="J26" s="292"/>
      <c r="L26" s="235">
        <v>43374</v>
      </c>
      <c r="M26" s="236"/>
      <c r="N26" s="157">
        <f t="shared" si="0"/>
        <v>1045.8310820768397</v>
      </c>
      <c r="O26" s="158"/>
      <c r="P26" s="216">
        <f t="shared" si="1"/>
        <v>388.99448656787359</v>
      </c>
      <c r="Q26" s="158"/>
      <c r="R26" s="157">
        <f t="shared" si="2"/>
        <v>656.83659550896618</v>
      </c>
      <c r="S26" s="158"/>
      <c r="T26" s="216">
        <f t="shared" si="3"/>
        <v>245023.89176314804</v>
      </c>
      <c r="U26" s="217"/>
      <c r="W26" s="103" t="s">
        <v>40</v>
      </c>
      <c r="X26" s="88"/>
      <c r="Y26" s="88"/>
      <c r="Z26" s="88"/>
      <c r="AA26" s="88">
        <v>1</v>
      </c>
      <c r="AB26" s="88"/>
      <c r="AC26" s="88">
        <v>2</v>
      </c>
      <c r="AD26" s="88"/>
      <c r="AE26" s="88">
        <v>3</v>
      </c>
      <c r="AF26" s="88"/>
      <c r="AG26" s="88">
        <v>4</v>
      </c>
      <c r="AH26" s="88"/>
      <c r="AI26" s="88">
        <v>5</v>
      </c>
      <c r="AJ26" s="88"/>
      <c r="AK26" s="88">
        <v>6</v>
      </c>
      <c r="AL26" s="88"/>
      <c r="AM26" s="88">
        <v>7</v>
      </c>
      <c r="AN26" s="88"/>
      <c r="AO26" s="88">
        <v>8</v>
      </c>
      <c r="AP26" s="88"/>
      <c r="AQ26" s="88">
        <v>9</v>
      </c>
      <c r="AR26" s="88"/>
      <c r="AS26" s="88">
        <v>10</v>
      </c>
      <c r="AT26" s="88"/>
      <c r="AU26" s="88">
        <v>11</v>
      </c>
      <c r="AV26" s="88"/>
      <c r="AW26" s="88">
        <v>12</v>
      </c>
      <c r="AX26" s="88"/>
      <c r="AY26" s="88">
        <v>13</v>
      </c>
      <c r="AZ26" s="88"/>
      <c r="BA26" s="88">
        <v>14</v>
      </c>
      <c r="BB26" s="88"/>
      <c r="BC26" s="88">
        <v>15</v>
      </c>
      <c r="BD26" s="88"/>
      <c r="BE26" s="88">
        <v>16</v>
      </c>
      <c r="BF26" s="88"/>
      <c r="BG26" s="88">
        <v>17</v>
      </c>
      <c r="BH26" s="88"/>
      <c r="BI26" s="88">
        <v>18</v>
      </c>
      <c r="BJ26" s="88"/>
      <c r="BK26" s="88">
        <v>19</v>
      </c>
      <c r="BL26" s="88"/>
      <c r="BM26" s="88">
        <v>20</v>
      </c>
      <c r="BN26" s="88"/>
      <c r="BO26" s="88">
        <v>21</v>
      </c>
      <c r="BP26" s="88"/>
      <c r="BQ26" s="88">
        <v>22</v>
      </c>
      <c r="BR26" s="88"/>
      <c r="BS26" s="88">
        <v>23</v>
      </c>
      <c r="BT26" s="88"/>
      <c r="BU26" s="88">
        <v>24</v>
      </c>
      <c r="BV26" s="88"/>
      <c r="BW26" s="88">
        <v>25</v>
      </c>
      <c r="BX26" s="114"/>
      <c r="BY26" s="120">
        <v>26</v>
      </c>
      <c r="BZ26" s="121"/>
    </row>
    <row r="27" spans="1:78" ht="16" thickBot="1" x14ac:dyDescent="0.4">
      <c r="A27" s="275" t="s">
        <v>6</v>
      </c>
      <c r="B27" s="276"/>
      <c r="C27" s="276"/>
      <c r="D27" s="276"/>
      <c r="E27" s="276"/>
      <c r="F27" s="276"/>
      <c r="G27" s="104">
        <f>(G5*1.08)-G5</f>
        <v>9600.0000000000146</v>
      </c>
      <c r="H27" s="104"/>
      <c r="I27" s="104"/>
      <c r="J27" s="297"/>
      <c r="L27" s="165">
        <v>43405</v>
      </c>
      <c r="M27" s="166"/>
      <c r="N27" s="157">
        <f t="shared" si="0"/>
        <v>1045.8310820768397</v>
      </c>
      <c r="O27" s="158"/>
      <c r="P27" s="216">
        <f t="shared" si="1"/>
        <v>387.95449529165109</v>
      </c>
      <c r="Q27" s="158"/>
      <c r="R27" s="157">
        <f t="shared" si="2"/>
        <v>657.87658678518869</v>
      </c>
      <c r="S27" s="158"/>
      <c r="T27" s="216">
        <f t="shared" si="3"/>
        <v>244366.01517636285</v>
      </c>
      <c r="U27" s="217"/>
      <c r="W27" s="83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115"/>
      <c r="BY27" s="84"/>
      <c r="BZ27" s="122"/>
    </row>
    <row r="28" spans="1:78" ht="16" thickTop="1" x14ac:dyDescent="0.35">
      <c r="A28" s="275"/>
      <c r="B28" s="276"/>
      <c r="C28" s="276"/>
      <c r="D28" s="276"/>
      <c r="E28" s="276"/>
      <c r="F28" s="276"/>
      <c r="G28" s="104"/>
      <c r="H28" s="104"/>
      <c r="I28" s="104"/>
      <c r="J28" s="297"/>
      <c r="L28" s="235">
        <v>43435</v>
      </c>
      <c r="M28" s="236"/>
      <c r="N28" s="157">
        <f t="shared" si="0"/>
        <v>1045.8310820768397</v>
      </c>
      <c r="O28" s="158"/>
      <c r="P28" s="216">
        <f t="shared" si="1"/>
        <v>386.91285736257453</v>
      </c>
      <c r="Q28" s="158"/>
      <c r="R28" s="157">
        <f t="shared" si="2"/>
        <v>658.91822471426519</v>
      </c>
      <c r="S28" s="158"/>
      <c r="T28" s="216">
        <f t="shared" si="3"/>
        <v>243707.09695164859</v>
      </c>
      <c r="U28" s="217"/>
      <c r="W28" s="93" t="s">
        <v>43</v>
      </c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5"/>
      <c r="BY28" s="99"/>
      <c r="BZ28" s="100"/>
    </row>
    <row r="29" spans="1:78" ht="16" thickBot="1" x14ac:dyDescent="0.4">
      <c r="A29" s="281" t="s">
        <v>18</v>
      </c>
      <c r="B29" s="282"/>
      <c r="C29" s="282"/>
      <c r="D29" s="282"/>
      <c r="E29" s="282"/>
      <c r="F29" s="282"/>
      <c r="G29" s="285">
        <f>((G3-G13-G25-G21-G15-G17-G19)/(G5+G7+G23+G27))</f>
        <v>0.14125596184419714</v>
      </c>
      <c r="H29" s="285"/>
      <c r="I29" s="285"/>
      <c r="J29" s="286"/>
      <c r="L29" s="165">
        <v>43466</v>
      </c>
      <c r="M29" s="166"/>
      <c r="N29" s="157">
        <f t="shared" si="0"/>
        <v>1045.8310820768397</v>
      </c>
      <c r="O29" s="158"/>
      <c r="P29" s="216">
        <f t="shared" si="1"/>
        <v>385.86957017344361</v>
      </c>
      <c r="Q29" s="158"/>
      <c r="R29" s="157">
        <f t="shared" si="2"/>
        <v>659.96151190339606</v>
      </c>
      <c r="S29" s="158"/>
      <c r="T29" s="216">
        <f t="shared" si="3"/>
        <v>243047.13543974521</v>
      </c>
      <c r="U29" s="217"/>
      <c r="W29" s="96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8"/>
      <c r="BY29" s="101"/>
      <c r="BZ29" s="102"/>
    </row>
    <row r="30" spans="1:78" ht="16.5" thickTop="1" thickBot="1" x14ac:dyDescent="0.4">
      <c r="A30" s="283"/>
      <c r="B30" s="284"/>
      <c r="C30" s="284"/>
      <c r="D30" s="284"/>
      <c r="E30" s="284"/>
      <c r="F30" s="284"/>
      <c r="G30" s="287"/>
      <c r="H30" s="287"/>
      <c r="I30" s="287"/>
      <c r="J30" s="288"/>
      <c r="L30" s="235">
        <v>43497</v>
      </c>
      <c r="M30" s="236"/>
      <c r="N30" s="157">
        <f t="shared" si="0"/>
        <v>1045.8310820768397</v>
      </c>
      <c r="O30" s="158"/>
      <c r="P30" s="216">
        <f t="shared" si="1"/>
        <v>384.82463111292992</v>
      </c>
      <c r="Q30" s="158"/>
      <c r="R30" s="157">
        <f t="shared" si="2"/>
        <v>661.00645096390986</v>
      </c>
      <c r="S30" s="158"/>
      <c r="T30" s="216">
        <f t="shared" si="3"/>
        <v>242386.1289887813</v>
      </c>
      <c r="U30" s="217"/>
      <c r="W30" s="103" t="s">
        <v>44</v>
      </c>
      <c r="X30" s="88"/>
      <c r="Y30" s="88"/>
      <c r="Z30" s="88"/>
      <c r="AA30" s="87">
        <f>G3</f>
        <v>45000</v>
      </c>
      <c r="AB30" s="88"/>
      <c r="AC30" s="87">
        <f>AA$30</f>
        <v>45000</v>
      </c>
      <c r="AD30" s="88"/>
      <c r="AE30" s="87">
        <f t="shared" ref="AE30" si="4">AC$30</f>
        <v>45000</v>
      </c>
      <c r="AF30" s="88"/>
      <c r="AG30" s="87">
        <f t="shared" ref="AG30" si="5">AE$30</f>
        <v>45000</v>
      </c>
      <c r="AH30" s="88"/>
      <c r="AI30" s="87">
        <f t="shared" ref="AI30" si="6">AG$30</f>
        <v>45000</v>
      </c>
      <c r="AJ30" s="88"/>
      <c r="AK30" s="87">
        <f t="shared" ref="AK30" si="7">AI$30</f>
        <v>45000</v>
      </c>
      <c r="AL30" s="88"/>
      <c r="AM30" s="87">
        <f t="shared" ref="AM30" si="8">AK$30</f>
        <v>45000</v>
      </c>
      <c r="AN30" s="88"/>
      <c r="AO30" s="87">
        <f t="shared" ref="AO30" si="9">AM$30</f>
        <v>45000</v>
      </c>
      <c r="AP30" s="88"/>
      <c r="AQ30" s="87">
        <f t="shared" ref="AQ30" si="10">AO$30</f>
        <v>45000</v>
      </c>
      <c r="AR30" s="88"/>
      <c r="AS30" s="87">
        <f t="shared" ref="AS30" si="11">AQ$30</f>
        <v>45000</v>
      </c>
      <c r="AT30" s="88"/>
      <c r="AU30" s="87">
        <f t="shared" ref="AU30" si="12">AS$30</f>
        <v>45000</v>
      </c>
      <c r="AV30" s="88"/>
      <c r="AW30" s="87">
        <f t="shared" ref="AW30" si="13">AU$30</f>
        <v>45000</v>
      </c>
      <c r="AX30" s="88"/>
      <c r="AY30" s="87">
        <f t="shared" ref="AY30" si="14">AW$30</f>
        <v>45000</v>
      </c>
      <c r="AZ30" s="88"/>
      <c r="BA30" s="87">
        <f t="shared" ref="BA30" si="15">AY$30</f>
        <v>45000</v>
      </c>
      <c r="BB30" s="88"/>
      <c r="BC30" s="87">
        <f t="shared" ref="BC30" si="16">BA$30</f>
        <v>45000</v>
      </c>
      <c r="BD30" s="88"/>
      <c r="BE30" s="87">
        <f t="shared" ref="BE30" si="17">BC$30</f>
        <v>45000</v>
      </c>
      <c r="BF30" s="88"/>
      <c r="BG30" s="87">
        <f t="shared" ref="BG30" si="18">BE$30</f>
        <v>45000</v>
      </c>
      <c r="BH30" s="88"/>
      <c r="BI30" s="87">
        <f t="shared" ref="BI30" si="19">BG$30</f>
        <v>45000</v>
      </c>
      <c r="BJ30" s="88"/>
      <c r="BK30" s="87">
        <f t="shared" ref="BK30" si="20">BI$30</f>
        <v>45000</v>
      </c>
      <c r="BL30" s="88"/>
      <c r="BM30" s="87">
        <f t="shared" ref="BM30" si="21">BK$30</f>
        <v>45000</v>
      </c>
      <c r="BN30" s="88"/>
      <c r="BO30" s="87">
        <f t="shared" ref="BO30" si="22">BM$30</f>
        <v>45000</v>
      </c>
      <c r="BP30" s="88"/>
      <c r="BQ30" s="87">
        <f t="shared" ref="BQ30" si="23">BO$30</f>
        <v>45000</v>
      </c>
      <c r="BR30" s="88"/>
      <c r="BS30" s="87">
        <f t="shared" ref="BS30" si="24">BQ$30</f>
        <v>45000</v>
      </c>
      <c r="BT30" s="88"/>
      <c r="BU30" s="87">
        <f t="shared" ref="BU30" si="25">BS$30</f>
        <v>45000</v>
      </c>
      <c r="BV30" s="88"/>
      <c r="BW30" s="87">
        <f t="shared" ref="BW30" si="26">BU$30</f>
        <v>45000</v>
      </c>
      <c r="BX30" s="114"/>
      <c r="BY30" s="87">
        <f t="shared" ref="BY30" si="27">BW$30</f>
        <v>45000</v>
      </c>
      <c r="BZ30" s="85"/>
    </row>
    <row r="31" spans="1:78" ht="16" thickTop="1" x14ac:dyDescent="0.35">
      <c r="A31" s="192" t="s">
        <v>53</v>
      </c>
      <c r="B31" s="193"/>
      <c r="C31" s="193"/>
      <c r="D31" s="193"/>
      <c r="E31" s="193"/>
      <c r="F31" s="193"/>
      <c r="G31" s="193"/>
      <c r="H31" s="193"/>
      <c r="I31" s="193"/>
      <c r="J31" s="194"/>
      <c r="L31" s="165">
        <v>43525</v>
      </c>
      <c r="M31" s="166"/>
      <c r="N31" s="157">
        <f t="shared" si="0"/>
        <v>1045.8310820768397</v>
      </c>
      <c r="O31" s="158"/>
      <c r="P31" s="216">
        <f t="shared" si="1"/>
        <v>383.7780375655704</v>
      </c>
      <c r="Q31" s="158"/>
      <c r="R31" s="157">
        <f t="shared" si="2"/>
        <v>662.05304451126926</v>
      </c>
      <c r="S31" s="158"/>
      <c r="T31" s="216">
        <f t="shared" si="3"/>
        <v>241724.07594427004</v>
      </c>
      <c r="U31" s="217"/>
      <c r="W31" s="65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106"/>
      <c r="BY31" s="66"/>
      <c r="BZ31" s="86"/>
    </row>
    <row r="32" spans="1:78" ht="16" thickBot="1" x14ac:dyDescent="0.4">
      <c r="A32" s="195"/>
      <c r="B32" s="196"/>
      <c r="C32" s="196"/>
      <c r="D32" s="196"/>
      <c r="E32" s="196"/>
      <c r="F32" s="196"/>
      <c r="G32" s="196"/>
      <c r="H32" s="196"/>
      <c r="I32" s="196"/>
      <c r="J32" s="197"/>
      <c r="L32" s="235">
        <v>43556</v>
      </c>
      <c r="M32" s="236"/>
      <c r="N32" s="157">
        <f t="shared" si="0"/>
        <v>1045.8310820768397</v>
      </c>
      <c r="O32" s="158"/>
      <c r="P32" s="216">
        <f t="shared" si="1"/>
        <v>382.72978691176087</v>
      </c>
      <c r="Q32" s="158"/>
      <c r="R32" s="157">
        <f t="shared" si="2"/>
        <v>663.10129516507891</v>
      </c>
      <c r="S32" s="158"/>
      <c r="T32" s="216">
        <f t="shared" si="3"/>
        <v>241060.97464910496</v>
      </c>
      <c r="U32" s="217"/>
      <c r="W32" s="65" t="s">
        <v>62</v>
      </c>
      <c r="X32" s="66"/>
      <c r="Y32" s="66"/>
      <c r="Z32" s="66"/>
      <c r="AA32" s="31">
        <f>$G$7/10</f>
        <v>12000</v>
      </c>
      <c r="AB32" s="31"/>
      <c r="AC32" s="31">
        <f>$G$7/10</f>
        <v>12000</v>
      </c>
      <c r="AD32" s="31"/>
      <c r="AE32" s="35">
        <f t="shared" ref="AE32" si="28">$G$7/10</f>
        <v>12000</v>
      </c>
      <c r="AF32" s="57"/>
      <c r="AG32" s="35">
        <f t="shared" ref="AG32" si="29">$G$7/10</f>
        <v>12000</v>
      </c>
      <c r="AH32" s="57"/>
      <c r="AI32" s="35">
        <f t="shared" ref="AI32" si="30">$G$7/10</f>
        <v>12000</v>
      </c>
      <c r="AJ32" s="57"/>
      <c r="AK32" s="35">
        <f t="shared" ref="AK32" si="31">$G$7/10</f>
        <v>12000</v>
      </c>
      <c r="AL32" s="57"/>
      <c r="AM32" s="35">
        <f t="shared" ref="AM32" si="32">$G$7/10</f>
        <v>12000</v>
      </c>
      <c r="AN32" s="57"/>
      <c r="AO32" s="35">
        <f t="shared" ref="AO32" si="33">$G$7/10</f>
        <v>12000</v>
      </c>
      <c r="AP32" s="57"/>
      <c r="AQ32" s="35">
        <f t="shared" ref="AQ32" si="34">$G$7/10</f>
        <v>12000</v>
      </c>
      <c r="AR32" s="57"/>
      <c r="AS32" s="35">
        <f t="shared" ref="AS32" si="35">$G$7/10</f>
        <v>12000</v>
      </c>
      <c r="AT32" s="57"/>
      <c r="AU32" s="31">
        <v>0</v>
      </c>
      <c r="AV32" s="31"/>
      <c r="AW32" s="31">
        <v>0</v>
      </c>
      <c r="AX32" s="31"/>
      <c r="AY32" s="31">
        <v>0</v>
      </c>
      <c r="AZ32" s="31"/>
      <c r="BA32" s="31">
        <v>0</v>
      </c>
      <c r="BB32" s="31"/>
      <c r="BC32" s="31">
        <v>0</v>
      </c>
      <c r="BD32" s="31"/>
      <c r="BE32" s="31">
        <v>0</v>
      </c>
      <c r="BF32" s="31"/>
      <c r="BG32" s="31">
        <v>0</v>
      </c>
      <c r="BH32" s="31"/>
      <c r="BI32" s="31">
        <v>0</v>
      </c>
      <c r="BJ32" s="31"/>
      <c r="BK32" s="31">
        <v>0</v>
      </c>
      <c r="BL32" s="31"/>
      <c r="BM32" s="31">
        <v>0</v>
      </c>
      <c r="BN32" s="31"/>
      <c r="BO32" s="31">
        <v>0</v>
      </c>
      <c r="BP32" s="31"/>
      <c r="BQ32" s="31">
        <v>0</v>
      </c>
      <c r="BR32" s="31"/>
      <c r="BS32" s="31">
        <v>0</v>
      </c>
      <c r="BT32" s="31"/>
      <c r="BU32" s="31">
        <v>0</v>
      </c>
      <c r="BV32" s="31"/>
      <c r="BW32" s="31">
        <v>0</v>
      </c>
      <c r="BX32" s="31"/>
      <c r="BY32" s="31">
        <v>0</v>
      </c>
      <c r="BZ32" s="33"/>
    </row>
    <row r="33" spans="1:78" ht="16" customHeight="1" thickTop="1" x14ac:dyDescent="0.35">
      <c r="A33" s="273" t="s">
        <v>19</v>
      </c>
      <c r="B33" s="274"/>
      <c r="C33" s="274"/>
      <c r="D33" s="274"/>
      <c r="E33" s="274"/>
      <c r="F33" s="274"/>
      <c r="G33" s="289">
        <f>G3/12</f>
        <v>3750</v>
      </c>
      <c r="H33" s="289"/>
      <c r="I33" s="289"/>
      <c r="J33" s="290"/>
      <c r="L33" s="165">
        <v>43586</v>
      </c>
      <c r="M33" s="166"/>
      <c r="N33" s="157">
        <f t="shared" si="0"/>
        <v>1045.8310820768397</v>
      </c>
      <c r="O33" s="158"/>
      <c r="P33" s="216">
        <f t="shared" si="1"/>
        <v>381.67987652774951</v>
      </c>
      <c r="Q33" s="158"/>
      <c r="R33" s="157">
        <f t="shared" si="2"/>
        <v>664.15120554909026</v>
      </c>
      <c r="S33" s="158"/>
      <c r="T33" s="216">
        <f t="shared" si="3"/>
        <v>240396.82344355586</v>
      </c>
      <c r="U33" s="217"/>
      <c r="W33" s="65"/>
      <c r="X33" s="66"/>
      <c r="Y33" s="66"/>
      <c r="Z33" s="66"/>
      <c r="AA33" s="31"/>
      <c r="AB33" s="31"/>
      <c r="AC33" s="31"/>
      <c r="AD33" s="31"/>
      <c r="AE33" s="37"/>
      <c r="AF33" s="58"/>
      <c r="AG33" s="37"/>
      <c r="AH33" s="58"/>
      <c r="AI33" s="37"/>
      <c r="AJ33" s="58"/>
      <c r="AK33" s="37"/>
      <c r="AL33" s="58"/>
      <c r="AM33" s="37"/>
      <c r="AN33" s="58"/>
      <c r="AO33" s="37"/>
      <c r="AP33" s="58"/>
      <c r="AQ33" s="37"/>
      <c r="AR33" s="58"/>
      <c r="AS33" s="37"/>
      <c r="AT33" s="58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3"/>
    </row>
    <row r="34" spans="1:78" ht="16" customHeight="1" x14ac:dyDescent="0.35">
      <c r="A34" s="275"/>
      <c r="B34" s="276"/>
      <c r="C34" s="276"/>
      <c r="D34" s="276"/>
      <c r="E34" s="276"/>
      <c r="F34" s="276"/>
      <c r="G34" s="291"/>
      <c r="H34" s="291"/>
      <c r="I34" s="291"/>
      <c r="J34" s="292"/>
      <c r="L34" s="235">
        <v>43617</v>
      </c>
      <c r="M34" s="236"/>
      <c r="N34" s="157">
        <f t="shared" si="0"/>
        <v>1045.8310820768397</v>
      </c>
      <c r="O34" s="158"/>
      <c r="P34" s="216">
        <f t="shared" si="1"/>
        <v>380.62830378563007</v>
      </c>
      <c r="Q34" s="158"/>
      <c r="R34" s="157">
        <f t="shared" si="2"/>
        <v>665.2027782912096</v>
      </c>
      <c r="S34" s="158"/>
      <c r="T34" s="216">
        <f t="shared" si="3"/>
        <v>239731.62066526464</v>
      </c>
      <c r="U34" s="217"/>
      <c r="W34" s="65" t="s">
        <v>45</v>
      </c>
      <c r="X34" s="66"/>
      <c r="Y34" s="66"/>
      <c r="Z34" s="66"/>
      <c r="AA34" s="31">
        <f>SUM(P20:Q31)</f>
        <v>4674.0489291921158</v>
      </c>
      <c r="AB34" s="66"/>
      <c r="AC34" s="31">
        <f>SUM(P32:Q43)</f>
        <v>4523.096332632731</v>
      </c>
      <c r="AD34" s="66"/>
      <c r="AE34" s="31">
        <f>SUM(P44:Q55)</f>
        <v>4369.2505280831747</v>
      </c>
      <c r="AF34" s="66"/>
      <c r="AG34" s="31">
        <f>SUM(P56:Q67)</f>
        <v>4212.456063350739</v>
      </c>
      <c r="AH34" s="66"/>
      <c r="AI34" s="31">
        <f>SUM(P68:Q79)</f>
        <v>4052.656423427426</v>
      </c>
      <c r="AJ34" s="66"/>
      <c r="AK34" s="31">
        <f>SUM(P80:Q91)</f>
        <v>3889.7940101196841</v>
      </c>
      <c r="AL34" s="66"/>
      <c r="AM34" s="31">
        <f>SUM(P92:Q103)</f>
        <v>3723.8101212877032</v>
      </c>
      <c r="AN34" s="66"/>
      <c r="AO34" s="31">
        <f>SUM(P104:Q115)</f>
        <v>3554.6449296868132</v>
      </c>
      <c r="AP34" s="66"/>
      <c r="AQ34" s="31">
        <f>SUM(P116:Q127)</f>
        <v>3382.2374614033492</v>
      </c>
      <c r="AR34" s="66"/>
      <c r="AS34" s="31">
        <f>SUM(P128:Q139)</f>
        <v>3206.525573877208</v>
      </c>
      <c r="AT34" s="66"/>
      <c r="AU34" s="31">
        <f>SUM(P140:Q151)</f>
        <v>3027.4459335031788</v>
      </c>
      <c r="AV34" s="66"/>
      <c r="AW34" s="31">
        <f>SUM(P152:Q163)</f>
        <v>2844.9339928029804</v>
      </c>
      <c r="AX34" s="66"/>
      <c r="AY34" s="31">
        <f>SUM(P164:Q175)</f>
        <v>2658.9239671597516</v>
      </c>
      <c r="AZ34" s="66"/>
      <c r="BA34" s="31">
        <f>SUM(P176:Q187)</f>
        <v>2469.3488111066508</v>
      </c>
      <c r="BB34" s="66"/>
      <c r="BC34" s="31">
        <f>SUM(P188:Q199)</f>
        <v>2276.1401941609774</v>
      </c>
      <c r="BD34" s="66"/>
      <c r="BE34" s="31">
        <f>SUM(P200:Q211)</f>
        <v>2079.2284761951296</v>
      </c>
      <c r="BF34" s="66"/>
      <c r="BG34" s="31">
        <f>SUM(P212:Q223)</f>
        <v>1878.5426823355092</v>
      </c>
      <c r="BH34" s="66"/>
      <c r="BI34" s="31">
        <f>SUM(P224:Q235)</f>
        <v>1674.0104773803362</v>
      </c>
      <c r="BJ34" s="66"/>
      <c r="BK34" s="31">
        <f>SUM(P236:Q247)</f>
        <v>1465.5581397271412</v>
      </c>
      <c r="BL34" s="66"/>
      <c r="BM34" s="31">
        <f>SUM(P248:Q259)</f>
        <v>1253.1105348005492</v>
      </c>
      <c r="BN34" s="66"/>
      <c r="BO34" s="31">
        <f>SUM(P260:Q271)</f>
        <v>1036.5910879707637</v>
      </c>
      <c r="BP34" s="66"/>
      <c r="BQ34" s="31">
        <f>SUM(P272:Q283)</f>
        <v>815.92175695300398</v>
      </c>
      <c r="BR34" s="66"/>
      <c r="BS34" s="31">
        <f>SUM(P284:Q295)</f>
        <v>591.02300367793828</v>
      </c>
      <c r="BT34" s="66"/>
      <c r="BU34" s="31">
        <f>SUM(P296:Q307)</f>
        <v>361.81376562297703</v>
      </c>
      <c r="BV34" s="66"/>
      <c r="BW34" s="31">
        <f>SUM(P308:Q319)</f>
        <v>128.21142659408963</v>
      </c>
      <c r="BX34" s="106"/>
      <c r="BY34" s="35">
        <v>0</v>
      </c>
      <c r="BZ34" s="36"/>
    </row>
    <row r="35" spans="1:78" x14ac:dyDescent="0.35">
      <c r="A35" s="275" t="s">
        <v>21</v>
      </c>
      <c r="B35" s="276"/>
      <c r="C35" s="276"/>
      <c r="D35" s="276"/>
      <c r="E35" s="276"/>
      <c r="F35" s="276"/>
      <c r="G35" s="291">
        <f>R15</f>
        <v>1045.8310820768397</v>
      </c>
      <c r="H35" s="298"/>
      <c r="I35" s="298"/>
      <c r="J35" s="299"/>
      <c r="L35" s="165">
        <v>43647</v>
      </c>
      <c r="M35" s="166"/>
      <c r="N35" s="157">
        <f t="shared" si="0"/>
        <v>1045.8310820768397</v>
      </c>
      <c r="O35" s="158"/>
      <c r="P35" s="216">
        <f t="shared" si="1"/>
        <v>379.57506605333566</v>
      </c>
      <c r="Q35" s="158"/>
      <c r="R35" s="157">
        <f t="shared" si="2"/>
        <v>666.25601602350412</v>
      </c>
      <c r="S35" s="158"/>
      <c r="T35" s="216">
        <f t="shared" si="3"/>
        <v>239065.36464924112</v>
      </c>
      <c r="U35" s="217"/>
      <c r="W35" s="65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106"/>
      <c r="BY35" s="37"/>
      <c r="BZ35" s="38"/>
    </row>
    <row r="36" spans="1:78" x14ac:dyDescent="0.35">
      <c r="A36" s="275"/>
      <c r="B36" s="276"/>
      <c r="C36" s="276"/>
      <c r="D36" s="276"/>
      <c r="E36" s="276"/>
      <c r="F36" s="276"/>
      <c r="G36" s="298"/>
      <c r="H36" s="298"/>
      <c r="I36" s="298"/>
      <c r="J36" s="299"/>
      <c r="L36" s="235">
        <v>43678</v>
      </c>
      <c r="M36" s="236"/>
      <c r="N36" s="157">
        <f t="shared" si="0"/>
        <v>1045.8310820768397</v>
      </c>
      <c r="O36" s="158"/>
      <c r="P36" s="216">
        <f t="shared" si="1"/>
        <v>378.52016069463178</v>
      </c>
      <c r="Q36" s="158"/>
      <c r="R36" s="157">
        <f t="shared" si="2"/>
        <v>667.31092138220788</v>
      </c>
      <c r="S36" s="158"/>
      <c r="T36" s="216">
        <f t="shared" si="3"/>
        <v>238398.0537278589</v>
      </c>
      <c r="U36" s="217"/>
      <c r="W36" s="65" t="s">
        <v>42</v>
      </c>
      <c r="X36" s="66"/>
      <c r="Y36" s="66"/>
      <c r="Z36" s="66"/>
      <c r="AA36" s="105">
        <f>SUM(G13+G15+G17+G19+G25+(G45*12))</f>
        <v>8860</v>
      </c>
      <c r="AB36" s="66"/>
      <c r="AC36" s="105">
        <f>SUM(G13+G15+G17+G19+G25+(G45*12))</f>
        <v>8860</v>
      </c>
      <c r="AD36" s="66"/>
      <c r="AE36" s="105">
        <f>SUM(G13+G15+G17+G19+G25+(G45*12))</f>
        <v>8860</v>
      </c>
      <c r="AF36" s="66"/>
      <c r="AG36" s="105">
        <f>SUM(G13+G15+G17+G19+G25+(G45*12))</f>
        <v>8860</v>
      </c>
      <c r="AH36" s="66"/>
      <c r="AI36" s="105">
        <f>SUM(G13+G15+G17+G19+G25+(G45*12))</f>
        <v>8860</v>
      </c>
      <c r="AJ36" s="66"/>
      <c r="AK36" s="105">
        <f>SUM(G13+G15+G17+G19+G25+(G45*12))</f>
        <v>8860</v>
      </c>
      <c r="AL36" s="66"/>
      <c r="AM36" s="105">
        <f>SUM(G13+G15+G17+G19+G25+(G45*12))</f>
        <v>8860</v>
      </c>
      <c r="AN36" s="66"/>
      <c r="AO36" s="105">
        <f>SUM(G13+G15+G17+G19+G25+(G45*12))</f>
        <v>8860</v>
      </c>
      <c r="AP36" s="66"/>
      <c r="AQ36" s="105">
        <f>SUM(G13+G15+G17+G19+G25+(G45*12))</f>
        <v>8860</v>
      </c>
      <c r="AR36" s="66"/>
      <c r="AS36" s="105">
        <f>SUM(G13+G15+G17+G19+G25+(G45*12))</f>
        <v>8860</v>
      </c>
      <c r="AT36" s="66"/>
      <c r="AU36" s="105">
        <f>SUM(G13+G15+G17+G19+G25+(G45*12))</f>
        <v>8860</v>
      </c>
      <c r="AV36" s="66"/>
      <c r="AW36" s="105">
        <f>SUM(G13+G15+G17+G19+G25+(G45*12))</f>
        <v>8860</v>
      </c>
      <c r="AX36" s="66"/>
      <c r="AY36" s="105">
        <f>SUM(G13+G15+G17+G19+G25+(G45*12))</f>
        <v>8860</v>
      </c>
      <c r="AZ36" s="66"/>
      <c r="BA36" s="105">
        <f>SUM(G13+G15+G17+G19+G25+(G45*12))</f>
        <v>8860</v>
      </c>
      <c r="BB36" s="66"/>
      <c r="BC36" s="105">
        <f>SUM(G13+G15+G17+G19+G25+(G45*12))</f>
        <v>8860</v>
      </c>
      <c r="BD36" s="66"/>
      <c r="BE36" s="105">
        <f>SUM(G13+G15+G17+G19+G25+(G45*12))</f>
        <v>8860</v>
      </c>
      <c r="BF36" s="66"/>
      <c r="BG36" s="105">
        <f>SUM(G13+G15+G17+G19+G25+(G45*12))</f>
        <v>8860</v>
      </c>
      <c r="BH36" s="66"/>
      <c r="BI36" s="105">
        <f>SUM(G13+G15+G17+G19+G25+(G45*12))</f>
        <v>8860</v>
      </c>
      <c r="BJ36" s="66"/>
      <c r="BK36" s="105">
        <f>SUM(G13+G15+G17+G19+G25+(G45*12))</f>
        <v>8860</v>
      </c>
      <c r="BL36" s="66"/>
      <c r="BM36" s="105">
        <f>SUM(G13+G15+G17+G19+G25+(G45*12))</f>
        <v>8860</v>
      </c>
      <c r="BN36" s="66"/>
      <c r="BO36" s="105">
        <f>SUM(G13+G15+G17+G19+G25+(G45*12))</f>
        <v>8860</v>
      </c>
      <c r="BP36" s="66"/>
      <c r="BQ36" s="105">
        <f>SUM(G13+G15+G17+G19+G25+(G45*12))</f>
        <v>8860</v>
      </c>
      <c r="BR36" s="66"/>
      <c r="BS36" s="124">
        <f>SUM(G13+G15+G17+G19+G25+(G45*12))</f>
        <v>8860</v>
      </c>
      <c r="BT36" s="163"/>
      <c r="BU36" s="124">
        <f>SUM(G13+G15+G17+G19+G25+(G45*12))</f>
        <v>8860</v>
      </c>
      <c r="BV36" s="163"/>
      <c r="BW36" s="124">
        <f>SUM(G13+G15+G17+G19+G25+(G45*12))</f>
        <v>8860</v>
      </c>
      <c r="BX36" s="163"/>
      <c r="BY36" s="124">
        <f>SUM(G13+G15+G17+G19+G25+(G45*12))</f>
        <v>8860</v>
      </c>
      <c r="BZ36" s="125"/>
    </row>
    <row r="37" spans="1:78" ht="16" thickBot="1" x14ac:dyDescent="0.4">
      <c r="A37" s="275" t="s">
        <v>20</v>
      </c>
      <c r="B37" s="276"/>
      <c r="C37" s="276"/>
      <c r="D37" s="276"/>
      <c r="E37" s="276"/>
      <c r="F37" s="276"/>
      <c r="G37" s="291">
        <v>2000</v>
      </c>
      <c r="H37" s="291"/>
      <c r="I37" s="291"/>
      <c r="J37" s="292"/>
      <c r="L37" s="165">
        <v>43709</v>
      </c>
      <c r="M37" s="166"/>
      <c r="N37" s="157">
        <f t="shared" si="0"/>
        <v>1045.8310820768397</v>
      </c>
      <c r="O37" s="158"/>
      <c r="P37" s="216">
        <f t="shared" si="1"/>
        <v>377.46358506910991</v>
      </c>
      <c r="Q37" s="158"/>
      <c r="R37" s="157">
        <f t="shared" si="2"/>
        <v>668.36749700772975</v>
      </c>
      <c r="S37" s="158"/>
      <c r="T37" s="216">
        <f t="shared" si="3"/>
        <v>237729.68623085116</v>
      </c>
      <c r="U37" s="217"/>
      <c r="W37" s="83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126"/>
      <c r="BT37" s="164"/>
      <c r="BU37" s="126"/>
      <c r="BV37" s="164"/>
      <c r="BW37" s="126"/>
      <c r="BX37" s="164"/>
      <c r="BY37" s="126"/>
      <c r="BZ37" s="127"/>
    </row>
    <row r="38" spans="1:78" ht="16" thickTop="1" x14ac:dyDescent="0.35">
      <c r="A38" s="275"/>
      <c r="B38" s="276"/>
      <c r="C38" s="276"/>
      <c r="D38" s="276"/>
      <c r="E38" s="276"/>
      <c r="F38" s="276"/>
      <c r="G38" s="291"/>
      <c r="H38" s="291"/>
      <c r="I38" s="291"/>
      <c r="J38" s="292"/>
      <c r="L38" s="235">
        <v>43739</v>
      </c>
      <c r="M38" s="236"/>
      <c r="N38" s="157">
        <f t="shared" si="0"/>
        <v>1045.8310820768397</v>
      </c>
      <c r="O38" s="158"/>
      <c r="P38" s="216">
        <f t="shared" si="1"/>
        <v>376.40533653218102</v>
      </c>
      <c r="Q38" s="158"/>
      <c r="R38" s="157">
        <f t="shared" si="2"/>
        <v>669.42574554465864</v>
      </c>
      <c r="S38" s="158"/>
      <c r="T38" s="216">
        <f t="shared" si="3"/>
        <v>237060.2604853065</v>
      </c>
      <c r="U38" s="217"/>
      <c r="W38" s="93" t="s">
        <v>60</v>
      </c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5"/>
      <c r="BY38" s="99"/>
      <c r="BZ38" s="100"/>
    </row>
    <row r="39" spans="1:78" ht="16" thickBot="1" x14ac:dyDescent="0.4">
      <c r="A39" s="275" t="s">
        <v>7</v>
      </c>
      <c r="B39" s="276"/>
      <c r="C39" s="276"/>
      <c r="D39" s="276"/>
      <c r="E39" s="276"/>
      <c r="F39" s="276"/>
      <c r="G39" s="291">
        <f>G13/12</f>
        <v>125</v>
      </c>
      <c r="H39" s="291"/>
      <c r="I39" s="291"/>
      <c r="J39" s="292"/>
      <c r="L39" s="165">
        <v>43770</v>
      </c>
      <c r="M39" s="166"/>
      <c r="N39" s="157">
        <f t="shared" si="0"/>
        <v>1045.8310820768397</v>
      </c>
      <c r="O39" s="158"/>
      <c r="P39" s="216">
        <f t="shared" si="1"/>
        <v>375.34541243506862</v>
      </c>
      <c r="Q39" s="158"/>
      <c r="R39" s="157">
        <f t="shared" si="2"/>
        <v>670.4856696417711</v>
      </c>
      <c r="S39" s="158"/>
      <c r="T39" s="216">
        <f t="shared" si="3"/>
        <v>236389.77481566471</v>
      </c>
      <c r="U39" s="217"/>
      <c r="W39" s="96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8"/>
      <c r="BY39" s="101"/>
      <c r="BZ39" s="102"/>
    </row>
    <row r="40" spans="1:78" ht="16" customHeight="1" thickTop="1" x14ac:dyDescent="0.35">
      <c r="A40" s="275"/>
      <c r="B40" s="276"/>
      <c r="C40" s="276"/>
      <c r="D40" s="276"/>
      <c r="E40" s="276"/>
      <c r="F40" s="276"/>
      <c r="G40" s="291"/>
      <c r="H40" s="291"/>
      <c r="I40" s="291"/>
      <c r="J40" s="292"/>
      <c r="L40" s="235">
        <v>43800</v>
      </c>
      <c r="M40" s="236"/>
      <c r="N40" s="157">
        <f t="shared" si="0"/>
        <v>1045.8310820768397</v>
      </c>
      <c r="O40" s="158"/>
      <c r="P40" s="216">
        <f t="shared" si="1"/>
        <v>374.28381012480247</v>
      </c>
      <c r="Q40" s="158"/>
      <c r="R40" s="157">
        <f t="shared" si="2"/>
        <v>671.54727195203725</v>
      </c>
      <c r="S40" s="158"/>
      <c r="T40" s="216">
        <f t="shared" si="3"/>
        <v>235718.22754371268</v>
      </c>
      <c r="U40" s="217"/>
      <c r="W40" s="103" t="s">
        <v>46</v>
      </c>
      <c r="X40" s="88"/>
      <c r="Y40" s="88"/>
      <c r="Z40" s="88"/>
      <c r="AA40" s="89">
        <f>AA30-(AA32+AA34+AA36)</f>
        <v>19465.951070807885</v>
      </c>
      <c r="AB40" s="88"/>
      <c r="AC40" s="70">
        <f>AC30-(AC32+AC34+AC36)</f>
        <v>19616.903667367267</v>
      </c>
      <c r="AD40" s="88"/>
      <c r="AE40" s="70">
        <f>AE30-(AE32+AE34+AE36)</f>
        <v>19770.749471916824</v>
      </c>
      <c r="AF40" s="88"/>
      <c r="AG40" s="70">
        <f>AG30-(AG32+AG34+AG36)</f>
        <v>19927.543936649261</v>
      </c>
      <c r="AH40" s="88"/>
      <c r="AI40" s="87">
        <f>AI30-(AI32+AI34+AI36)</f>
        <v>20087.343576572574</v>
      </c>
      <c r="AJ40" s="88"/>
      <c r="AK40" s="87">
        <f>AK30-(AK32+AK34+AK36)</f>
        <v>20250.205989880316</v>
      </c>
      <c r="AL40" s="88"/>
      <c r="AM40" s="87">
        <f>AM30-(AM32+AM34+AM36)</f>
        <v>20416.189878712299</v>
      </c>
      <c r="AN40" s="88"/>
      <c r="AO40" s="87">
        <f>AO30-(AO32+AO34+AO36)</f>
        <v>20585.355070313188</v>
      </c>
      <c r="AP40" s="88"/>
      <c r="AQ40" s="87">
        <f>AQ30-(AQ32+AQ34+AQ36)</f>
        <v>20757.762538596653</v>
      </c>
      <c r="AR40" s="88"/>
      <c r="AS40" s="87">
        <f>AS30-(AS32+AS34+AS36)</f>
        <v>20933.47442612279</v>
      </c>
      <c r="AT40" s="88"/>
      <c r="AU40" s="87">
        <f>AU30-(AU32+AU34+AU36)</f>
        <v>33112.554066496821</v>
      </c>
      <c r="AV40" s="88"/>
      <c r="AW40" s="87">
        <f>AW30-(AW32+AW34+AW36)</f>
        <v>33295.06600719702</v>
      </c>
      <c r="AX40" s="88"/>
      <c r="AY40" s="87">
        <f>AY30-(AY32+AY34+AY36)</f>
        <v>33481.076032840247</v>
      </c>
      <c r="AZ40" s="88"/>
      <c r="BA40" s="87">
        <f>BA30-(BA32+BA34+BA36)</f>
        <v>33670.651188893346</v>
      </c>
      <c r="BB40" s="88"/>
      <c r="BC40" s="87">
        <f>BC30-(BC32+BC34+BC36)</f>
        <v>33863.85980583902</v>
      </c>
      <c r="BD40" s="88"/>
      <c r="BE40" s="87">
        <f>BE30-(BE32+BE34+BE36)</f>
        <v>34060.77152380487</v>
      </c>
      <c r="BF40" s="88"/>
      <c r="BG40" s="87">
        <f>BG30-(BG32+BG34+BG36)</f>
        <v>34261.457317664492</v>
      </c>
      <c r="BH40" s="88"/>
      <c r="BI40" s="87">
        <f>BI30-(BI32+BI34+BI36)</f>
        <v>34465.989522619668</v>
      </c>
      <c r="BJ40" s="88"/>
      <c r="BK40" s="87">
        <f>BK30-(BK32+BK34+BK36)</f>
        <v>34674.441860272855</v>
      </c>
      <c r="BL40" s="88"/>
      <c r="BM40" s="87">
        <f>BM30-(BM32+BM34+BM36)</f>
        <v>34886.889465199449</v>
      </c>
      <c r="BN40" s="88"/>
      <c r="BO40" s="87">
        <f>BO30-(BO32+BO34+BO36)</f>
        <v>35103.408912029234</v>
      </c>
      <c r="BP40" s="88"/>
      <c r="BQ40" s="87">
        <f>BQ30-(BQ32+BQ34+BQ36)</f>
        <v>35324.078243046999</v>
      </c>
      <c r="BR40" s="88"/>
      <c r="BS40" s="87">
        <f>BS30-(BS32+BS34+BS36)</f>
        <v>35548.976996322061</v>
      </c>
      <c r="BT40" s="88"/>
      <c r="BU40" s="87">
        <f>BU30-(BU32+BU34+BU36)</f>
        <v>35778.186234377019</v>
      </c>
      <c r="BV40" s="88"/>
      <c r="BW40" s="87">
        <f>BW30-(BW32+BW34+BW36)</f>
        <v>36011.788573405909</v>
      </c>
      <c r="BX40" s="114"/>
      <c r="BY40" s="87">
        <f>BY30-(BY32+BY34+BY36)</f>
        <v>36140</v>
      </c>
      <c r="BZ40" s="85"/>
    </row>
    <row r="41" spans="1:78" ht="16" customHeight="1" x14ac:dyDescent="0.35">
      <c r="A41" s="45" t="s">
        <v>58</v>
      </c>
      <c r="B41" s="46"/>
      <c r="C41" s="46"/>
      <c r="D41" s="46"/>
      <c r="E41" s="46"/>
      <c r="F41" s="47"/>
      <c r="G41" s="198">
        <v>5000</v>
      </c>
      <c r="H41" s="199"/>
      <c r="I41" s="199"/>
      <c r="J41" s="200"/>
      <c r="L41" s="165">
        <v>43831</v>
      </c>
      <c r="M41" s="166"/>
      <c r="N41" s="157">
        <f t="shared" si="0"/>
        <v>1045.8310820768397</v>
      </c>
      <c r="O41" s="158"/>
      <c r="P41" s="216">
        <f t="shared" si="1"/>
        <v>373.22052694421171</v>
      </c>
      <c r="Q41" s="158"/>
      <c r="R41" s="157">
        <f t="shared" si="2"/>
        <v>672.61055513262795</v>
      </c>
      <c r="S41" s="158"/>
      <c r="T41" s="216">
        <f>T40-R41</f>
        <v>235045.61698858006</v>
      </c>
      <c r="U41" s="217"/>
      <c r="W41" s="65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106"/>
      <c r="BY41" s="66"/>
      <c r="BZ41" s="86"/>
    </row>
    <row r="42" spans="1:78" x14ac:dyDescent="0.35">
      <c r="A42" s="48"/>
      <c r="B42" s="49"/>
      <c r="C42" s="49"/>
      <c r="D42" s="49"/>
      <c r="E42" s="49"/>
      <c r="F42" s="50"/>
      <c r="G42" s="201"/>
      <c r="H42" s="202"/>
      <c r="I42" s="202"/>
      <c r="J42" s="203"/>
      <c r="L42" s="235">
        <v>43862</v>
      </c>
      <c r="M42" s="236"/>
      <c r="N42" s="157">
        <f t="shared" si="0"/>
        <v>1045.8310820768397</v>
      </c>
      <c r="O42" s="158"/>
      <c r="P42" s="216">
        <f t="shared" si="1"/>
        <v>372.1555602319184</v>
      </c>
      <c r="Q42" s="158"/>
      <c r="R42" s="157">
        <f t="shared" si="2"/>
        <v>673.67552184492138</v>
      </c>
      <c r="S42" s="158"/>
      <c r="T42" s="216">
        <f t="shared" si="3"/>
        <v>234371.94146673515</v>
      </c>
      <c r="U42" s="217"/>
      <c r="W42" s="65" t="s">
        <v>23</v>
      </c>
      <c r="X42" s="66"/>
      <c r="Y42" s="66"/>
      <c r="Z42" s="66"/>
      <c r="AA42" s="31">
        <f>(AA40*0.312)/12</f>
        <v>506.11472784100505</v>
      </c>
      <c r="AB42" s="31"/>
      <c r="AC42" s="31">
        <f t="shared" ref="AC42" si="36">(AC40*0.312)/12</f>
        <v>510.03949535154896</v>
      </c>
      <c r="AD42" s="31"/>
      <c r="AE42" s="31">
        <f t="shared" ref="AE42" si="37">(AE40*0.312)/12</f>
        <v>514.03948626983743</v>
      </c>
      <c r="AF42" s="31"/>
      <c r="AG42" s="31">
        <f t="shared" ref="AG42" si="38">(AG40*0.312)/12</f>
        <v>518.11614235288073</v>
      </c>
      <c r="AH42" s="31"/>
      <c r="AI42" s="31">
        <f t="shared" ref="AI42" si="39">(AI40*0.312)/12</f>
        <v>522.27093299088688</v>
      </c>
      <c r="AJ42" s="31"/>
      <c r="AK42" s="31">
        <f t="shared" ref="AK42" si="40">(AK40*0.312)/12</f>
        <v>526.50535573688819</v>
      </c>
      <c r="AL42" s="31"/>
      <c r="AM42" s="31">
        <f t="shared" ref="AM42" si="41">(AM40*0.312)/12</f>
        <v>530.82093684651977</v>
      </c>
      <c r="AN42" s="31"/>
      <c r="AO42" s="31">
        <f t="shared" ref="AO42" si="42">(AO40*0.312)/12</f>
        <v>535.21923182814282</v>
      </c>
      <c r="AP42" s="31"/>
      <c r="AQ42" s="31">
        <f t="shared" ref="AQ42" si="43">(AQ40*0.312)/12</f>
        <v>539.70182600351302</v>
      </c>
      <c r="AR42" s="31"/>
      <c r="AS42" s="31">
        <f t="shared" ref="AS42" si="44">(AS40*0.312)/12</f>
        <v>544.27033507919248</v>
      </c>
      <c r="AT42" s="31"/>
      <c r="AU42" s="31">
        <f t="shared" ref="AU42" si="45">(AU40*0.312)/12</f>
        <v>860.92640572891742</v>
      </c>
      <c r="AV42" s="31"/>
      <c r="AW42" s="31">
        <f t="shared" ref="AW42" si="46">(AW40*0.312)/12</f>
        <v>865.67171618712246</v>
      </c>
      <c r="AX42" s="31"/>
      <c r="AY42" s="31">
        <f t="shared" ref="AY42" si="47">(AY40*0.312)/12</f>
        <v>870.50797685384634</v>
      </c>
      <c r="AZ42" s="31"/>
      <c r="BA42" s="31">
        <f t="shared" ref="BA42" si="48">(BA40*0.312)/12</f>
        <v>875.43693091122702</v>
      </c>
      <c r="BB42" s="31"/>
      <c r="BC42" s="31">
        <f t="shared" ref="BC42" si="49">(BC40*0.312)/12</f>
        <v>880.46035495181457</v>
      </c>
      <c r="BD42" s="31"/>
      <c r="BE42" s="31">
        <f t="shared" ref="BE42" si="50">(BE40*0.312)/12</f>
        <v>885.58005961892661</v>
      </c>
      <c r="BF42" s="31"/>
      <c r="BG42" s="31">
        <f t="shared" ref="BG42" si="51">(BG40*0.312)/12</f>
        <v>890.79789025927676</v>
      </c>
      <c r="BH42" s="31"/>
      <c r="BI42" s="31">
        <f t="shared" ref="BI42" si="52">(BI40*0.312)/12</f>
        <v>896.11572758811133</v>
      </c>
      <c r="BJ42" s="31"/>
      <c r="BK42" s="31">
        <f t="shared" ref="BK42" si="53">(BK40*0.312)/12</f>
        <v>901.53548836709422</v>
      </c>
      <c r="BL42" s="31"/>
      <c r="BM42" s="31">
        <f t="shared" ref="BM42" si="54">(BM40*0.312)/12</f>
        <v>907.05912609518566</v>
      </c>
      <c r="BN42" s="31"/>
      <c r="BO42" s="31">
        <f t="shared" ref="BO42" si="55">(BO40*0.312)/12</f>
        <v>912.68863171276007</v>
      </c>
      <c r="BP42" s="31"/>
      <c r="BQ42" s="31">
        <f t="shared" ref="BQ42" si="56">(BQ40*0.312)/12</f>
        <v>918.42603431922191</v>
      </c>
      <c r="BR42" s="31"/>
      <c r="BS42" s="31">
        <f t="shared" ref="BS42" si="57">(BS40*0.312)/12</f>
        <v>924.2734019043736</v>
      </c>
      <c r="BT42" s="31"/>
      <c r="BU42" s="31">
        <f t="shared" ref="BU42" si="58">(BU40*0.312)/12</f>
        <v>930.23284209380245</v>
      </c>
      <c r="BV42" s="31"/>
      <c r="BW42" s="31">
        <f t="shared" ref="BW42" si="59">(BW40*0.312)/12</f>
        <v>936.30650290855363</v>
      </c>
      <c r="BX42" s="72"/>
      <c r="BY42" s="31">
        <f t="shared" ref="BY42" si="60">(BY40*0.312)/12</f>
        <v>939.64</v>
      </c>
      <c r="BZ42" s="33"/>
    </row>
    <row r="43" spans="1:78" x14ac:dyDescent="0.35">
      <c r="A43" s="275" t="s">
        <v>10</v>
      </c>
      <c r="B43" s="276"/>
      <c r="C43" s="276"/>
      <c r="D43" s="276"/>
      <c r="E43" s="276"/>
      <c r="F43" s="276"/>
      <c r="G43" s="291">
        <f>G25/12</f>
        <v>25</v>
      </c>
      <c r="H43" s="291"/>
      <c r="I43" s="291"/>
      <c r="J43" s="292"/>
      <c r="L43" s="165">
        <v>43891</v>
      </c>
      <c r="M43" s="166"/>
      <c r="N43" s="157">
        <f t="shared" si="0"/>
        <v>1045.8310820768397</v>
      </c>
      <c r="O43" s="158"/>
      <c r="P43" s="216">
        <f t="shared" si="1"/>
        <v>371.08890732233067</v>
      </c>
      <c r="Q43" s="158"/>
      <c r="R43" s="157">
        <f t="shared" si="2"/>
        <v>674.74217475450905</v>
      </c>
      <c r="S43" s="158"/>
      <c r="T43" s="216">
        <f t="shared" si="3"/>
        <v>233697.19929198065</v>
      </c>
      <c r="U43" s="217"/>
      <c r="W43" s="65"/>
      <c r="X43" s="66"/>
      <c r="Y43" s="66"/>
      <c r="Z43" s="66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72"/>
      <c r="BY43" s="31"/>
      <c r="BZ43" s="33"/>
    </row>
    <row r="44" spans="1:78" x14ac:dyDescent="0.35">
      <c r="A44" s="275"/>
      <c r="B44" s="276"/>
      <c r="C44" s="276"/>
      <c r="D44" s="276"/>
      <c r="E44" s="276"/>
      <c r="F44" s="276"/>
      <c r="G44" s="291"/>
      <c r="H44" s="291"/>
      <c r="I44" s="291"/>
      <c r="J44" s="292"/>
      <c r="L44" s="235">
        <v>43922</v>
      </c>
      <c r="M44" s="236"/>
      <c r="N44" s="157">
        <f t="shared" si="0"/>
        <v>1045.8310820768397</v>
      </c>
      <c r="O44" s="158"/>
      <c r="P44" s="216">
        <f t="shared" si="1"/>
        <v>370.02056554563603</v>
      </c>
      <c r="Q44" s="158"/>
      <c r="R44" s="157">
        <f t="shared" si="2"/>
        <v>675.81051653120369</v>
      </c>
      <c r="S44" s="158"/>
      <c r="T44" s="216">
        <f t="shared" si="3"/>
        <v>233021.38877544945</v>
      </c>
      <c r="U44" s="217"/>
      <c r="W44" s="65" t="s">
        <v>24</v>
      </c>
      <c r="X44" s="66"/>
      <c r="Y44" s="66"/>
      <c r="Z44" s="66"/>
      <c r="AA44" s="31">
        <f>(AA40*0.472)/12</f>
        <v>765.66074211844341</v>
      </c>
      <c r="AB44" s="31"/>
      <c r="AC44" s="31">
        <f t="shared" ref="AC44" si="61">(AC40*0.472)/12</f>
        <v>771.59821091644574</v>
      </c>
      <c r="AD44" s="31"/>
      <c r="AE44" s="31">
        <f t="shared" ref="AE44" si="62">(AE40*0.472)/12</f>
        <v>777.64947922872841</v>
      </c>
      <c r="AF44" s="31"/>
      <c r="AG44" s="31">
        <f t="shared" ref="AG44" si="63">(AG40*0.472)/12</f>
        <v>783.81672817487095</v>
      </c>
      <c r="AH44" s="31"/>
      <c r="AI44" s="31">
        <f t="shared" ref="AI44" si="64">(AI40*0.472)/12</f>
        <v>790.10218067852111</v>
      </c>
      <c r="AJ44" s="31"/>
      <c r="AK44" s="31">
        <f t="shared" ref="AK44" si="65">(AK40*0.472)/12</f>
        <v>796.50810226862575</v>
      </c>
      <c r="AL44" s="31"/>
      <c r="AM44" s="31">
        <f t="shared" ref="AM44" si="66">(AM40*0.472)/12</f>
        <v>803.0368018960171</v>
      </c>
      <c r="AN44" s="31"/>
      <c r="AO44" s="31">
        <f t="shared" ref="AO44" si="67">(AO40*0.472)/12</f>
        <v>809.69063276565203</v>
      </c>
      <c r="AP44" s="31"/>
      <c r="AQ44" s="31">
        <f t="shared" ref="AQ44" si="68">(AQ40*0.472)/12</f>
        <v>816.4719931848017</v>
      </c>
      <c r="AR44" s="31"/>
      <c r="AS44" s="31">
        <f t="shared" ref="AS44" si="69">(AS40*0.472)/12</f>
        <v>823.38332742749628</v>
      </c>
      <c r="AT44" s="31"/>
      <c r="AU44" s="31">
        <f t="shared" ref="AU44" si="70">(AU40*0.472)/12</f>
        <v>1302.4271266155415</v>
      </c>
      <c r="AV44" s="31"/>
      <c r="AW44" s="31">
        <f t="shared" ref="AW44" si="71">(AW40*0.472)/12</f>
        <v>1309.605929616416</v>
      </c>
      <c r="AX44" s="31"/>
      <c r="AY44" s="31">
        <f t="shared" ref="AY44" si="72">(AY40*0.472)/12</f>
        <v>1316.922323958383</v>
      </c>
      <c r="AZ44" s="31"/>
      <c r="BA44" s="31">
        <f t="shared" ref="BA44" si="73">(BA40*0.472)/12</f>
        <v>1324.3789467631382</v>
      </c>
      <c r="BB44" s="31"/>
      <c r="BC44" s="31">
        <f t="shared" ref="BC44" si="74">(BC40*0.472)/12</f>
        <v>1331.9784856963347</v>
      </c>
      <c r="BD44" s="31"/>
      <c r="BE44" s="31">
        <f t="shared" ref="BE44" si="75">(BE40*0.472)/12</f>
        <v>1339.7236799363247</v>
      </c>
      <c r="BF44" s="31"/>
      <c r="BG44" s="31">
        <f t="shared" ref="BG44" si="76">(BG40*0.472)/12</f>
        <v>1347.6173211614698</v>
      </c>
      <c r="BH44" s="31"/>
      <c r="BI44" s="31">
        <f t="shared" ref="BI44" si="77">(BI40*0.472)/12</f>
        <v>1355.6622545563735</v>
      </c>
      <c r="BJ44" s="31"/>
      <c r="BK44" s="31">
        <f t="shared" ref="BK44" si="78">(BK40*0.472)/12</f>
        <v>1363.8613798373988</v>
      </c>
      <c r="BL44" s="31"/>
      <c r="BM44" s="31">
        <f t="shared" ref="BM44" si="79">(BM40*0.472)/12</f>
        <v>1372.217652297845</v>
      </c>
      <c r="BN44" s="31"/>
      <c r="BO44" s="31">
        <f t="shared" ref="BO44" si="80">(BO40*0.472)/12</f>
        <v>1380.7340838731498</v>
      </c>
      <c r="BP44" s="31"/>
      <c r="BQ44" s="31">
        <f t="shared" ref="BQ44" si="81">(BQ40*0.472)/12</f>
        <v>1389.4137442265153</v>
      </c>
      <c r="BR44" s="31"/>
      <c r="BS44" s="31">
        <f t="shared" ref="BS44" si="82">(BS40*0.472)/12</f>
        <v>1398.2597618553343</v>
      </c>
      <c r="BT44" s="31"/>
      <c r="BU44" s="31">
        <f t="shared" ref="BU44" si="83">(BU40*0.472)/12</f>
        <v>1407.2753252188293</v>
      </c>
      <c r="BV44" s="31"/>
      <c r="BW44" s="31">
        <f t="shared" ref="BW44" si="84">(BW40*0.472)/12</f>
        <v>1416.4636838872991</v>
      </c>
      <c r="BX44" s="72"/>
      <c r="BY44" s="31">
        <f t="shared" ref="BY44" si="85">(BY40*0.472)/12</f>
        <v>1421.5066666666664</v>
      </c>
      <c r="BZ44" s="33"/>
    </row>
    <row r="45" spans="1:78" x14ac:dyDescent="0.35">
      <c r="A45" s="45" t="s">
        <v>38</v>
      </c>
      <c r="B45" s="46"/>
      <c r="C45" s="46"/>
      <c r="D45" s="46"/>
      <c r="E45" s="46"/>
      <c r="F45" s="47"/>
      <c r="G45" s="198">
        <v>50</v>
      </c>
      <c r="H45" s="199"/>
      <c r="I45" s="199"/>
      <c r="J45" s="200"/>
      <c r="L45" s="165">
        <v>43952</v>
      </c>
      <c r="M45" s="166"/>
      <c r="N45" s="157">
        <f t="shared" si="0"/>
        <v>1045.8310820768397</v>
      </c>
      <c r="O45" s="158"/>
      <c r="P45" s="216">
        <f t="shared" si="1"/>
        <v>368.95053222779495</v>
      </c>
      <c r="Q45" s="158"/>
      <c r="R45" s="157">
        <f t="shared" si="2"/>
        <v>676.88054984904477</v>
      </c>
      <c r="S45" s="158"/>
      <c r="T45" s="216">
        <f t="shared" si="3"/>
        <v>232344.50822560041</v>
      </c>
      <c r="U45" s="217"/>
      <c r="W45" s="65"/>
      <c r="X45" s="66"/>
      <c r="Y45" s="66"/>
      <c r="Z45" s="66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72"/>
      <c r="BY45" s="31"/>
      <c r="BZ45" s="33"/>
    </row>
    <row r="46" spans="1:78" x14ac:dyDescent="0.35">
      <c r="A46" s="48"/>
      <c r="B46" s="49"/>
      <c r="C46" s="49"/>
      <c r="D46" s="49"/>
      <c r="E46" s="49"/>
      <c r="F46" s="50"/>
      <c r="G46" s="201"/>
      <c r="H46" s="202"/>
      <c r="I46" s="202"/>
      <c r="J46" s="203"/>
      <c r="L46" s="235">
        <v>43983</v>
      </c>
      <c r="M46" s="236"/>
      <c r="N46" s="157">
        <f t="shared" si="0"/>
        <v>1045.8310820768397</v>
      </c>
      <c r="O46" s="158"/>
      <c r="P46" s="216">
        <f t="shared" si="1"/>
        <v>367.87880469053397</v>
      </c>
      <c r="Q46" s="158"/>
      <c r="R46" s="157">
        <f t="shared" si="2"/>
        <v>677.9522773863057</v>
      </c>
      <c r="S46" s="158"/>
      <c r="T46" s="216">
        <f t="shared" si="3"/>
        <v>231666.55594821411</v>
      </c>
      <c r="U46" s="217"/>
      <c r="W46" s="65" t="s">
        <v>25</v>
      </c>
      <c r="X46" s="66"/>
      <c r="Y46" s="66"/>
      <c r="Z46" s="66"/>
      <c r="AA46" s="31">
        <f>(AA40*0.582)/12</f>
        <v>944.09862693418233</v>
      </c>
      <c r="AB46" s="31"/>
      <c r="AC46" s="31">
        <f t="shared" ref="AC46" si="86">(AC40*0.582)/12</f>
        <v>951.41982786731239</v>
      </c>
      <c r="AD46" s="31"/>
      <c r="AE46" s="31">
        <f t="shared" ref="AE46" si="87">(AE40*0.582)/12</f>
        <v>958.881349387966</v>
      </c>
      <c r="AF46" s="31"/>
      <c r="AG46" s="31">
        <f t="shared" ref="AG46" si="88">(AG40*0.582)/12</f>
        <v>966.48588092748912</v>
      </c>
      <c r="AH46" s="31"/>
      <c r="AI46" s="31">
        <f t="shared" ref="AI46" si="89">(AI40*0.582)/12</f>
        <v>974.23616346376969</v>
      </c>
      <c r="AJ46" s="31"/>
      <c r="AK46" s="31">
        <f t="shared" ref="AK46" si="90">(AK40*0.582)/12</f>
        <v>982.13499050919529</v>
      </c>
      <c r="AL46" s="31"/>
      <c r="AM46" s="31">
        <f t="shared" ref="AM46" si="91">(AM40*0.582)/12</f>
        <v>990.18520911754649</v>
      </c>
      <c r="AN46" s="31"/>
      <c r="AO46" s="31">
        <f t="shared" ref="AO46" si="92">(AO40*0.582)/12</f>
        <v>998.38972091018957</v>
      </c>
      <c r="AP46" s="31"/>
      <c r="AQ46" s="31">
        <f t="shared" ref="AQ46" si="93">(AQ40*0.582)/12</f>
        <v>1006.7514831219377</v>
      </c>
      <c r="AR46" s="31"/>
      <c r="AS46" s="31">
        <f t="shared" ref="AS46" si="94">(AS40*0.582)/12</f>
        <v>1015.2735096669553</v>
      </c>
      <c r="AT46" s="31"/>
      <c r="AU46" s="31">
        <f t="shared" ref="AU46" si="95">(AU40*0.582)/12</f>
        <v>1605.9588722250958</v>
      </c>
      <c r="AV46" s="31"/>
      <c r="AW46" s="31">
        <f t="shared" ref="AW46" si="96">(AW40*0.582)/12</f>
        <v>1614.8107013490553</v>
      </c>
      <c r="AX46" s="31"/>
      <c r="AY46" s="31">
        <f t="shared" ref="AY46" si="97">(AY40*0.582)/12</f>
        <v>1623.832187592752</v>
      </c>
      <c r="AZ46" s="31"/>
      <c r="BA46" s="31">
        <f t="shared" ref="BA46" si="98">(BA40*0.582)/12</f>
        <v>1633.026582661327</v>
      </c>
      <c r="BB46" s="31"/>
      <c r="BC46" s="31">
        <f t="shared" ref="BC46" si="99">(BC40*0.582)/12</f>
        <v>1642.3972005831922</v>
      </c>
      <c r="BD46" s="31"/>
      <c r="BE46" s="31">
        <f t="shared" ref="BE46" si="100">(BE40*0.582)/12</f>
        <v>1651.9474189045361</v>
      </c>
      <c r="BF46" s="31"/>
      <c r="BG46" s="31">
        <f t="shared" ref="BG46" si="101">(BG40*0.582)/12</f>
        <v>1661.6806799067278</v>
      </c>
      <c r="BH46" s="31"/>
      <c r="BI46" s="31">
        <f t="shared" ref="BI46" si="102">(BI40*0.582)/12</f>
        <v>1671.6004918470537</v>
      </c>
      <c r="BJ46" s="31"/>
      <c r="BK46" s="31">
        <f t="shared" ref="BK46" si="103">(BK40*0.582)/12</f>
        <v>1681.7104302232335</v>
      </c>
      <c r="BL46" s="31"/>
      <c r="BM46" s="31">
        <f t="shared" ref="BM46" si="104">(BM40*0.582)/12</f>
        <v>1692.0141390621732</v>
      </c>
      <c r="BN46" s="31"/>
      <c r="BO46" s="31">
        <f t="shared" ref="BO46" si="105">(BO40*0.582)/12</f>
        <v>1702.5153322334179</v>
      </c>
      <c r="BP46" s="31"/>
      <c r="BQ46" s="31">
        <f t="shared" ref="BQ46" si="106">(BQ40*0.582)/12</f>
        <v>1713.2177947877792</v>
      </c>
      <c r="BR46" s="31"/>
      <c r="BS46" s="31">
        <f t="shared" ref="BS46" si="107">(BS40*0.582)/12</f>
        <v>1724.1253843216198</v>
      </c>
      <c r="BT46" s="31"/>
      <c r="BU46" s="31">
        <f t="shared" ref="BU46" si="108">(BU40*0.582)/12</f>
        <v>1735.2420323672852</v>
      </c>
      <c r="BV46" s="31"/>
      <c r="BW46" s="31">
        <f t="shared" ref="BW46" si="109">(BW40*0.582)/12</f>
        <v>1746.5717458101865</v>
      </c>
      <c r="BX46" s="72"/>
      <c r="BY46" s="31">
        <f t="shared" ref="BY46" si="110">(BY40*0.582)/12</f>
        <v>1752.79</v>
      </c>
      <c r="BZ46" s="33"/>
    </row>
    <row r="47" spans="1:78" x14ac:dyDescent="0.35">
      <c r="A47" s="275" t="s">
        <v>9</v>
      </c>
      <c r="B47" s="276"/>
      <c r="C47" s="276"/>
      <c r="D47" s="276"/>
      <c r="E47" s="276"/>
      <c r="F47" s="276"/>
      <c r="G47" s="291">
        <f>G21/12</f>
        <v>100</v>
      </c>
      <c r="H47" s="291"/>
      <c r="I47" s="291"/>
      <c r="J47" s="292"/>
      <c r="L47" s="165">
        <v>44013</v>
      </c>
      <c r="M47" s="166"/>
      <c r="N47" s="157">
        <f t="shared" si="0"/>
        <v>1045.8310820768397</v>
      </c>
      <c r="O47" s="158"/>
      <c r="P47" s="216">
        <f t="shared" si="1"/>
        <v>366.80538025133899</v>
      </c>
      <c r="Q47" s="158"/>
      <c r="R47" s="157">
        <f t="shared" si="2"/>
        <v>679.02570182550073</v>
      </c>
      <c r="S47" s="158"/>
      <c r="T47" s="216">
        <f t="shared" si="3"/>
        <v>230987.5302463886</v>
      </c>
      <c r="U47" s="217"/>
      <c r="W47" s="65"/>
      <c r="X47" s="66"/>
      <c r="Y47" s="66"/>
      <c r="Z47" s="66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72"/>
      <c r="BY47" s="31"/>
      <c r="BZ47" s="33"/>
    </row>
    <row r="48" spans="1:78" x14ac:dyDescent="0.35">
      <c r="A48" s="275"/>
      <c r="B48" s="276"/>
      <c r="C48" s="276"/>
      <c r="D48" s="276"/>
      <c r="E48" s="276"/>
      <c r="F48" s="276"/>
      <c r="G48" s="291"/>
      <c r="H48" s="291"/>
      <c r="I48" s="291"/>
      <c r="J48" s="292"/>
      <c r="L48" s="235">
        <v>44044</v>
      </c>
      <c r="M48" s="236"/>
      <c r="N48" s="157">
        <f t="shared" si="0"/>
        <v>1045.8310820768397</v>
      </c>
      <c r="O48" s="158"/>
      <c r="P48" s="216">
        <f t="shared" si="1"/>
        <v>365.73025622344863</v>
      </c>
      <c r="Q48" s="158"/>
      <c r="R48" s="157">
        <f t="shared" si="2"/>
        <v>680.10082585339114</v>
      </c>
      <c r="S48" s="158"/>
      <c r="T48" s="216">
        <f t="shared" si="3"/>
        <v>230307.42942053522</v>
      </c>
      <c r="U48" s="217"/>
      <c r="W48" s="65" t="s">
        <v>26</v>
      </c>
      <c r="X48" s="66"/>
      <c r="Y48" s="66"/>
      <c r="Z48" s="66"/>
      <c r="AA48" s="31">
        <f>(AA40*0.622)/12</f>
        <v>1008.9851305035421</v>
      </c>
      <c r="AB48" s="31"/>
      <c r="AC48" s="31">
        <f t="shared" ref="AC48" si="111">(AC40*0.622)/12</f>
        <v>1016.8095067585367</v>
      </c>
      <c r="AD48" s="31"/>
      <c r="AE48" s="31">
        <f t="shared" ref="AE48" si="112">(AE40*0.622)/12</f>
        <v>1024.7838476276886</v>
      </c>
      <c r="AF48" s="31"/>
      <c r="AG48" s="31">
        <f t="shared" ref="AG48" si="113">(AG40*0.622)/12</f>
        <v>1032.9110273829867</v>
      </c>
      <c r="AH48" s="31"/>
      <c r="AI48" s="31">
        <f t="shared" ref="AI48" si="114">(AI40*0.622)/12</f>
        <v>1041.1939753856784</v>
      </c>
      <c r="AJ48" s="31"/>
      <c r="AK48" s="31">
        <f t="shared" ref="AK48" si="115">(AK40*0.622)/12</f>
        <v>1049.6356771421297</v>
      </c>
      <c r="AL48" s="31"/>
      <c r="AM48" s="31">
        <f t="shared" ref="AM48" si="116">(AM40*0.622)/12</f>
        <v>1058.2391753799209</v>
      </c>
      <c r="AN48" s="31"/>
      <c r="AO48" s="31">
        <f t="shared" ref="AO48" si="117">(AO40*0.622)/12</f>
        <v>1067.0075711445668</v>
      </c>
      <c r="AP48" s="31"/>
      <c r="AQ48" s="31">
        <f t="shared" ref="AQ48" si="118">(AQ40*0.622)/12</f>
        <v>1075.9440249172599</v>
      </c>
      <c r="AR48" s="31"/>
      <c r="AS48" s="31">
        <f t="shared" ref="AS48" si="119">(AS40*0.622)/12</f>
        <v>1085.0517577540313</v>
      </c>
      <c r="AT48" s="31"/>
      <c r="AU48" s="31">
        <f t="shared" ref="AU48" si="120">(AU40*0.622)/12</f>
        <v>1716.3340524467519</v>
      </c>
      <c r="AV48" s="31"/>
      <c r="AW48" s="31">
        <f t="shared" ref="AW48" si="121">(AW40*0.622)/12</f>
        <v>1725.7942547063788</v>
      </c>
      <c r="AX48" s="31"/>
      <c r="AY48" s="31">
        <f t="shared" ref="AY48" si="122">(AY40*0.622)/12</f>
        <v>1735.4357743688861</v>
      </c>
      <c r="AZ48" s="31"/>
      <c r="BA48" s="31">
        <f t="shared" ref="BA48" si="123">(BA40*0.622)/12</f>
        <v>1745.2620866243051</v>
      </c>
      <c r="BB48" s="31"/>
      <c r="BC48" s="31">
        <f t="shared" ref="BC48" si="124">(BC40*0.622)/12</f>
        <v>1755.2767332693227</v>
      </c>
      <c r="BD48" s="31"/>
      <c r="BE48" s="31">
        <f t="shared" ref="BE48" si="125">(BE40*0.622)/12</f>
        <v>1765.4833239838856</v>
      </c>
      <c r="BF48" s="31"/>
      <c r="BG48" s="31">
        <f t="shared" ref="BG48" si="126">(BG40*0.622)/12</f>
        <v>1775.8855376322763</v>
      </c>
      <c r="BH48" s="31"/>
      <c r="BI48" s="31">
        <f t="shared" ref="BI48" si="127">(BI40*0.622)/12</f>
        <v>1786.4871235891194</v>
      </c>
      <c r="BJ48" s="31"/>
      <c r="BK48" s="31">
        <f t="shared" ref="BK48" si="128">(BK40*0.622)/12</f>
        <v>1797.2919030908097</v>
      </c>
      <c r="BL48" s="31"/>
      <c r="BM48" s="31">
        <f t="shared" ref="BM48" si="129">(BM40*0.622)/12</f>
        <v>1808.303770612838</v>
      </c>
      <c r="BN48" s="31"/>
      <c r="BO48" s="31">
        <f t="shared" ref="BO48" si="130">(BO40*0.622)/12</f>
        <v>1819.5266952735153</v>
      </c>
      <c r="BP48" s="31"/>
      <c r="BQ48" s="31">
        <f t="shared" ref="BQ48" si="131">(BQ40*0.622)/12</f>
        <v>1830.9647222646026</v>
      </c>
      <c r="BR48" s="31"/>
      <c r="BS48" s="31">
        <f t="shared" ref="BS48" si="132">(BS40*0.622)/12</f>
        <v>1842.62197430936</v>
      </c>
      <c r="BT48" s="31"/>
      <c r="BU48" s="31">
        <f t="shared" ref="BU48" si="133">(BU40*0.622)/12</f>
        <v>1854.5026531485421</v>
      </c>
      <c r="BV48" s="31"/>
      <c r="BW48" s="31">
        <f t="shared" ref="BW48" si="134">(BW40*0.622)/12</f>
        <v>1866.6110410548729</v>
      </c>
      <c r="BX48" s="72"/>
      <c r="BY48" s="31">
        <f t="shared" ref="BY48" si="135">(BY40*0.622)/12</f>
        <v>1873.2566666666664</v>
      </c>
      <c r="BZ48" s="33"/>
    </row>
    <row r="49" spans="1:78" ht="16" thickBot="1" x14ac:dyDescent="0.4">
      <c r="A49" s="275" t="s">
        <v>22</v>
      </c>
      <c r="B49" s="276"/>
      <c r="C49" s="276"/>
      <c r="D49" s="276"/>
      <c r="E49" s="276"/>
      <c r="F49" s="276"/>
      <c r="G49" s="247">
        <f>(G17+G19)/12</f>
        <v>455</v>
      </c>
      <c r="H49" s="247"/>
      <c r="I49" s="247"/>
      <c r="J49" s="248"/>
      <c r="L49" s="165">
        <v>44075</v>
      </c>
      <c r="M49" s="166"/>
      <c r="N49" s="157">
        <f t="shared" si="0"/>
        <v>1045.8310820768397</v>
      </c>
      <c r="O49" s="158"/>
      <c r="P49" s="216">
        <f t="shared" si="1"/>
        <v>364.65342991584743</v>
      </c>
      <c r="Q49" s="158"/>
      <c r="R49" s="157">
        <f t="shared" si="2"/>
        <v>681.17765216099224</v>
      </c>
      <c r="S49" s="158"/>
      <c r="T49" s="216">
        <f t="shared" si="3"/>
        <v>229626.25176837423</v>
      </c>
      <c r="U49" s="217"/>
      <c r="W49" s="83"/>
      <c r="X49" s="84"/>
      <c r="Y49" s="84"/>
      <c r="Z49" s="84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35"/>
      <c r="BY49" s="32"/>
      <c r="BZ49" s="34"/>
    </row>
    <row r="50" spans="1:78" ht="16" thickTop="1" x14ac:dyDescent="0.35">
      <c r="A50" s="275"/>
      <c r="B50" s="276"/>
      <c r="C50" s="276"/>
      <c r="D50" s="276"/>
      <c r="E50" s="276"/>
      <c r="F50" s="276"/>
      <c r="G50" s="247"/>
      <c r="H50" s="247"/>
      <c r="I50" s="247"/>
      <c r="J50" s="248"/>
      <c r="L50" s="235">
        <v>44105</v>
      </c>
      <c r="M50" s="236"/>
      <c r="N50" s="157">
        <f t="shared" si="0"/>
        <v>1045.8310820768397</v>
      </c>
      <c r="O50" s="158"/>
      <c r="P50" s="216">
        <f t="shared" si="1"/>
        <v>363.57489863325918</v>
      </c>
      <c r="Q50" s="158"/>
      <c r="R50" s="157">
        <f t="shared" si="2"/>
        <v>682.25618344358054</v>
      </c>
      <c r="S50" s="158"/>
      <c r="T50" s="216">
        <f t="shared" si="3"/>
        <v>228943.99558493064</v>
      </c>
      <c r="U50" s="217"/>
      <c r="W50" s="73" t="s">
        <v>47</v>
      </c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7"/>
      <c r="BZ50" s="78"/>
    </row>
    <row r="51" spans="1:78" ht="16" thickBot="1" x14ac:dyDescent="0.4">
      <c r="A51" s="275" t="s">
        <v>8</v>
      </c>
      <c r="B51" s="276"/>
      <c r="C51" s="276"/>
      <c r="D51" s="276"/>
      <c r="E51" s="276"/>
      <c r="F51" s="276"/>
      <c r="G51" s="291">
        <f>G15/12</f>
        <v>83.333333333333329</v>
      </c>
      <c r="H51" s="291"/>
      <c r="I51" s="291"/>
      <c r="J51" s="292"/>
      <c r="L51" s="165">
        <v>44136</v>
      </c>
      <c r="M51" s="166"/>
      <c r="N51" s="157">
        <f t="shared" si="0"/>
        <v>1045.8310820768397</v>
      </c>
      <c r="O51" s="158"/>
      <c r="P51" s="216">
        <f t="shared" si="1"/>
        <v>362.4946596761402</v>
      </c>
      <c r="Q51" s="158"/>
      <c r="R51" s="157">
        <f t="shared" si="2"/>
        <v>683.33642240069958</v>
      </c>
      <c r="S51" s="158"/>
      <c r="T51" s="216">
        <f t="shared" si="3"/>
        <v>228260.65916252995</v>
      </c>
      <c r="U51" s="217"/>
      <c r="W51" s="75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9"/>
      <c r="BZ51" s="80"/>
    </row>
    <row r="52" spans="1:78" ht="16" thickTop="1" x14ac:dyDescent="0.35">
      <c r="A52" s="275"/>
      <c r="B52" s="276"/>
      <c r="C52" s="276"/>
      <c r="D52" s="276"/>
      <c r="E52" s="276"/>
      <c r="F52" s="276"/>
      <c r="G52" s="291"/>
      <c r="H52" s="291"/>
      <c r="I52" s="291"/>
      <c r="J52" s="292"/>
      <c r="L52" s="235">
        <v>44166</v>
      </c>
      <c r="M52" s="236"/>
      <c r="N52" s="157">
        <f t="shared" si="0"/>
        <v>1045.8310820768397</v>
      </c>
      <c r="O52" s="158"/>
      <c r="P52" s="216">
        <f t="shared" si="1"/>
        <v>361.41271034067239</v>
      </c>
      <c r="Q52" s="158"/>
      <c r="R52" s="157">
        <f t="shared" si="2"/>
        <v>684.41837173616727</v>
      </c>
      <c r="S52" s="158"/>
      <c r="T52" s="216">
        <f t="shared" si="3"/>
        <v>227576.24079079379</v>
      </c>
      <c r="U52" s="217"/>
      <c r="W52" s="103" t="s">
        <v>48</v>
      </c>
      <c r="X52" s="88"/>
      <c r="Y52" s="88"/>
      <c r="Z52" s="88"/>
      <c r="AA52" s="70">
        <f>((AA30/12)-R15-AA42-G39-G43-G45-G47-G49-G51)</f>
        <v>1359.7208567488221</v>
      </c>
      <c r="AB52" s="70"/>
      <c r="AC52" s="70">
        <f>((AA30/12)-AC42-R15-G39-G43-G45-G47-G49-G51)</f>
        <v>1355.7960892382782</v>
      </c>
      <c r="AD52" s="70"/>
      <c r="AE52" s="70">
        <f>((AA30/12)-AE42-R15-G39-G43-G45-G47-G49-G51)</f>
        <v>1351.7960983199894</v>
      </c>
      <c r="AF52" s="70"/>
      <c r="AG52" s="70">
        <f>((AA30/12)-AG42-R15-G39-G43-G45-G47-G49-G51)</f>
        <v>1347.7194422369464</v>
      </c>
      <c r="AH52" s="70"/>
      <c r="AI52" s="70">
        <f>((AA30/12)-AI42-R15-G39-G43-G45-G47-G49-G51)</f>
        <v>1343.5646515989404</v>
      </c>
      <c r="AJ52" s="70"/>
      <c r="AK52" s="70">
        <f>((AA30/12)-AK42-R15-G39-G43-G45-G47-G49-G51)</f>
        <v>1339.3302288529387</v>
      </c>
      <c r="AL52" s="70"/>
      <c r="AM52" s="70">
        <f>((AA30/12)-AM42-R15-G39-G43-G45-G47-G49-G51)</f>
        <v>1335.0146477433075</v>
      </c>
      <c r="AN52" s="70"/>
      <c r="AO52" s="70">
        <f>((AA30/12)-AO42-R15-G39-G43-G45-G47-G49-G51)</f>
        <v>1330.6163527616843</v>
      </c>
      <c r="AP52" s="70"/>
      <c r="AQ52" s="70">
        <f>((AA30/12)-AQ42-R15-G39-G43-G45-G47-G49-G51)</f>
        <v>1326.1337585863141</v>
      </c>
      <c r="AR52" s="70"/>
      <c r="AS52" s="70">
        <f>((AA30/12)-AS42-R15-G39-G43-G45-G47-G49-G51)</f>
        <v>1321.5652495106344</v>
      </c>
      <c r="AT52" s="70"/>
      <c r="AU52" s="70">
        <f>((AA30/12)-AU42-R15-G39-G43-G45-G47-G49-G51)</f>
        <v>1004.9091788609095</v>
      </c>
      <c r="AV52" s="70"/>
      <c r="AW52" s="70">
        <f>((AA30/12)-AW42-R15-G39-G43-G45-G47-G49-G51)</f>
        <v>1000.1638684027045</v>
      </c>
      <c r="AX52" s="70"/>
      <c r="AY52" s="70">
        <f>((AA30/12)-AY42-R15-G39-G43-G45-G47-G49-G51)</f>
        <v>995.32760773598068</v>
      </c>
      <c r="AZ52" s="70"/>
      <c r="BA52" s="70">
        <f>((AA30/12)-BA42-R15-G39-G43-G45-G47-G49-G51)</f>
        <v>990.39865367859977</v>
      </c>
      <c r="BB52" s="70"/>
      <c r="BC52" s="70">
        <f>((AA30/12)-BC42-R15-G39-G43-G45-G47-G49-G51)</f>
        <v>985.37522963801223</v>
      </c>
      <c r="BD52" s="70"/>
      <c r="BE52" s="70">
        <f>((AA30/12)-BE42-R15-G39-G43-G45-G47-G49-G51)</f>
        <v>980.25552497090041</v>
      </c>
      <c r="BF52" s="70"/>
      <c r="BG52" s="70">
        <f>((AA30/12)-BG42-R15-G39-G43-G45-G47-G49-G51)</f>
        <v>975.03769433055015</v>
      </c>
      <c r="BH52" s="70"/>
      <c r="BI52" s="70">
        <f>((AA30/12)-BI42-R15-G39-G43-G45-G47-G49-G51)</f>
        <v>969.71985700171547</v>
      </c>
      <c r="BJ52" s="70"/>
      <c r="BK52" s="70">
        <f>((AA30/12)-BK42-R15-G39-G43-G45-G47-G49-G51)</f>
        <v>964.30009622273258</v>
      </c>
      <c r="BL52" s="70"/>
      <c r="BM52" s="70">
        <f>((AA30/12)-BM42-R15-G39-G43-G45-G47-G49-G51)</f>
        <v>958.77645849464136</v>
      </c>
      <c r="BN52" s="70"/>
      <c r="BO52" s="70">
        <f>((AA30/12)-BO42-R15-G39-G43-G45-G47-G49-G51)</f>
        <v>953.14695287706684</v>
      </c>
      <c r="BP52" s="70"/>
      <c r="BQ52" s="70">
        <f>((AA30/12)-BQ42-R15-G39-G43-G45-G47-G49-G51)</f>
        <v>947.40955027060511</v>
      </c>
      <c r="BR52" s="70"/>
      <c r="BS52" s="70">
        <f>((AA30/12)-BS42-R15-G39-G43-G45-G47-G49-G51)</f>
        <v>941.56218268545319</v>
      </c>
      <c r="BT52" s="70"/>
      <c r="BU52" s="70">
        <f>((AA30/12)-BU42-R15-G39-G43-G45-G47-G49-G51)</f>
        <v>935.60274249602446</v>
      </c>
      <c r="BV52" s="70"/>
      <c r="BW52" s="70">
        <f>((AA30/12)-BW42-R15-G39-G43-G45-G47-G49-G51)</f>
        <v>929.52908168127317</v>
      </c>
      <c r="BX52" s="37"/>
      <c r="BY52" s="37">
        <f>((AA30/12)-BY42-G39-G43-G45-G47-G49-G51)</f>
        <v>1972.0266666666669</v>
      </c>
      <c r="BZ52" s="38"/>
    </row>
    <row r="53" spans="1:78" x14ac:dyDescent="0.35">
      <c r="A53" s="45" t="s">
        <v>61</v>
      </c>
      <c r="B53" s="46"/>
      <c r="C53" s="46"/>
      <c r="D53" s="46"/>
      <c r="E53" s="46"/>
      <c r="F53" s="47"/>
      <c r="G53" s="39">
        <f>12*100</f>
        <v>1200</v>
      </c>
      <c r="H53" s="40"/>
      <c r="I53" s="40"/>
      <c r="J53" s="41"/>
      <c r="L53" s="165">
        <v>44197</v>
      </c>
      <c r="M53" s="166"/>
      <c r="N53" s="157">
        <f t="shared" si="0"/>
        <v>1045.8310820768397</v>
      </c>
      <c r="O53" s="158"/>
      <c r="P53" s="216">
        <f t="shared" si="1"/>
        <v>360.32904791875683</v>
      </c>
      <c r="Q53" s="158"/>
      <c r="R53" s="157">
        <f t="shared" si="2"/>
        <v>685.50203415808289</v>
      </c>
      <c r="S53" s="158"/>
      <c r="T53" s="216">
        <f t="shared" si="3"/>
        <v>226890.73875663569</v>
      </c>
      <c r="U53" s="217"/>
      <c r="W53" s="65"/>
      <c r="X53" s="66"/>
      <c r="Y53" s="66"/>
      <c r="Z53" s="66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72"/>
      <c r="BY53" s="72"/>
      <c r="BZ53" s="128"/>
    </row>
    <row r="54" spans="1:78" x14ac:dyDescent="0.35">
      <c r="A54" s="48"/>
      <c r="B54" s="49"/>
      <c r="C54" s="49"/>
      <c r="D54" s="49"/>
      <c r="E54" s="49"/>
      <c r="F54" s="50"/>
      <c r="G54" s="42"/>
      <c r="H54" s="43"/>
      <c r="I54" s="43"/>
      <c r="J54" s="44"/>
      <c r="L54" s="235">
        <v>44228</v>
      </c>
      <c r="M54" s="236"/>
      <c r="N54" s="157">
        <f t="shared" si="0"/>
        <v>1045.8310820768397</v>
      </c>
      <c r="O54" s="158"/>
      <c r="P54" s="216">
        <f t="shared" si="1"/>
        <v>359.2436696980065</v>
      </c>
      <c r="Q54" s="158"/>
      <c r="R54" s="157">
        <f t="shared" si="2"/>
        <v>686.58741237883328</v>
      </c>
      <c r="S54" s="158"/>
      <c r="T54" s="216">
        <f t="shared" si="3"/>
        <v>226204.15134425685</v>
      </c>
      <c r="U54" s="217"/>
      <c r="W54" s="69" t="s">
        <v>49</v>
      </c>
      <c r="X54" s="66"/>
      <c r="Y54" s="66"/>
      <c r="Z54" s="66"/>
      <c r="AA54" s="31">
        <f>((AA30/12)-AA44-R15-G39-G43-G45-G47-G49-G51)</f>
        <v>1100.1748424713835</v>
      </c>
      <c r="AB54" s="31"/>
      <c r="AC54" s="31">
        <f>((AA30/12)-AC44-R15-G39-G43-G45-G47-G49-G51)</f>
        <v>1094.2373736733814</v>
      </c>
      <c r="AD54" s="31"/>
      <c r="AE54" s="31">
        <f>((AA30/12)-AE44-R15-G39-G43-G45-G47-G49-G51)</f>
        <v>1088.1861053610985</v>
      </c>
      <c r="AF54" s="31"/>
      <c r="AG54" s="31">
        <f>((AA30/12)-AG44-R15-G39-G43-G45-G47-G49-G51)</f>
        <v>1082.018856414956</v>
      </c>
      <c r="AH54" s="31"/>
      <c r="AI54" s="31">
        <f>((AA30/12)-AI44-R15-G39-G43-G45-G47-G49-G51)</f>
        <v>1075.7334039113059</v>
      </c>
      <c r="AJ54" s="31"/>
      <c r="AK54" s="31">
        <f>((AA30/12)-AK44-R15-G39-G43-G45-G47-G49-G51)</f>
        <v>1069.3274823212012</v>
      </c>
      <c r="AL54" s="31"/>
      <c r="AM54" s="31">
        <f>((AA30/12)-AM44-R15-G39-G43-G45-G47-G49-G51)</f>
        <v>1062.7987826938099</v>
      </c>
      <c r="AN54" s="31"/>
      <c r="AO54" s="31">
        <f>((AA30/12)-AO44-R15-G39-G43-G45-G47-G49-G51)</f>
        <v>1056.144951824175</v>
      </c>
      <c r="AP54" s="31"/>
      <c r="AQ54" s="31">
        <f>((AA30/12)-AQ44-R15-G39-G43-G45-G47-G49-G51)</f>
        <v>1049.3635914050253</v>
      </c>
      <c r="AR54" s="31"/>
      <c r="AS54" s="31">
        <f>((AA30/12)-AS44-R15-G39-G43-G45-G47-G49-G51)</f>
        <v>1042.4522571623309</v>
      </c>
      <c r="AT54" s="31"/>
      <c r="AU54" s="31">
        <f>((AA30/12)-AU44-R15-G39-G43-G45-G47-G49-G51)</f>
        <v>563.4084579742854</v>
      </c>
      <c r="AV54" s="31"/>
      <c r="AW54" s="31">
        <f>((AA30/12)-AW44-R15-G39-G43-G45-G47-G49-G51)</f>
        <v>556.22965497341113</v>
      </c>
      <c r="AX54" s="31"/>
      <c r="AY54" s="31">
        <f>((AA30/12)-AY44-R15-G39-G43-G45-G47-G49-G51)</f>
        <v>548.9132606314439</v>
      </c>
      <c r="AZ54" s="31"/>
      <c r="BA54" s="31">
        <f>((AA30/12)-BA44-R15-G39-G43-G45-G47-G49-G51)</f>
        <v>541.45663782668873</v>
      </c>
      <c r="BB54" s="31"/>
      <c r="BC54" s="31">
        <f>((AA30/12)-BC44-R15-G39-G43-G45-G47-G49-G51)</f>
        <v>533.85709889349221</v>
      </c>
      <c r="BD54" s="31"/>
      <c r="BE54" s="31">
        <f>((AA30/12)-BE44-R15-G39-G43-G45-G47-G49-G51)</f>
        <v>526.11190465350239</v>
      </c>
      <c r="BF54" s="31"/>
      <c r="BG54" s="31">
        <f>((AA30/12)-BG44-R15-G39-G43-G45-G47-G49-G51)</f>
        <v>518.21826342835732</v>
      </c>
      <c r="BH54" s="31"/>
      <c r="BI54" s="31">
        <f>((AA30/12)-BI44-R15-G39-G43-G45-G47-G49-G51)</f>
        <v>510.17333003345374</v>
      </c>
      <c r="BJ54" s="31"/>
      <c r="BK54" s="31">
        <f>((AA30/12)-BK44-R15-G39-G43-G45-G47-G49-G51)</f>
        <v>501.97420475242797</v>
      </c>
      <c r="BL54" s="31"/>
      <c r="BM54" s="31">
        <f>((AA30/12)-BM44-R15-G39-G43-G45-G47-G49-G51)</f>
        <v>493.61793229198173</v>
      </c>
      <c r="BN54" s="31"/>
      <c r="BO54" s="31">
        <f>((AA30/12)-BO44-R15-G39-G43-G45-G47-G49-G51)</f>
        <v>485.10150071667721</v>
      </c>
      <c r="BP54" s="31"/>
      <c r="BQ54" s="31">
        <f>((AA30/12)-BQ44-R15-G39-G43-G45-G47-G49-G51)</f>
        <v>476.42184036331145</v>
      </c>
      <c r="BR54" s="31"/>
      <c r="BS54" s="31">
        <f>((AA30/12)-BS44-R15-G39-G43-G45-G47-G49-G51)</f>
        <v>467.57582273449242</v>
      </c>
      <c r="BT54" s="31"/>
      <c r="BU54" s="31">
        <f>((AA30/12)-BU44-R15-G39-G43-G45-G47-G49-G51)</f>
        <v>458.56025937099747</v>
      </c>
      <c r="BV54" s="31"/>
      <c r="BW54" s="31">
        <f>((AA30/12)-BW44-R15-G39-G43-G45-G47-G49-G51)</f>
        <v>449.37190070252763</v>
      </c>
      <c r="BX54" s="72"/>
      <c r="BY54" s="72">
        <f>((AA30/12)-BY44-G39-G43-G45-G47-G49-G51)</f>
        <v>1490.1600000000005</v>
      </c>
      <c r="BZ54" s="128"/>
    </row>
    <row r="55" spans="1:78" x14ac:dyDescent="0.35">
      <c r="A55" s="45" t="s">
        <v>54</v>
      </c>
      <c r="B55" s="46"/>
      <c r="C55" s="46"/>
      <c r="D55" s="46"/>
      <c r="E55" s="46"/>
      <c r="F55" s="47"/>
      <c r="G55" s="51">
        <f>G5/30</f>
        <v>4000</v>
      </c>
      <c r="H55" s="52"/>
      <c r="I55" s="52"/>
      <c r="J55" s="53"/>
      <c r="L55" s="165">
        <v>44256</v>
      </c>
      <c r="M55" s="166"/>
      <c r="N55" s="157">
        <f t="shared" si="0"/>
        <v>1045.8310820768397</v>
      </c>
      <c r="O55" s="158"/>
      <c r="P55" s="216">
        <f t="shared" si="1"/>
        <v>358.15657296173998</v>
      </c>
      <c r="Q55" s="158"/>
      <c r="R55" s="157">
        <f t="shared" si="2"/>
        <v>687.67450911509968</v>
      </c>
      <c r="S55" s="158"/>
      <c r="T55" s="216">
        <f t="shared" si="3"/>
        <v>225516.47683514174</v>
      </c>
      <c r="U55" s="217"/>
      <c r="W55" s="65"/>
      <c r="X55" s="66"/>
      <c r="Y55" s="66"/>
      <c r="Z55" s="66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72"/>
      <c r="BY55" s="72"/>
      <c r="BZ55" s="128"/>
    </row>
    <row r="56" spans="1:78" x14ac:dyDescent="0.35">
      <c r="A56" s="48"/>
      <c r="B56" s="49"/>
      <c r="C56" s="49"/>
      <c r="D56" s="49"/>
      <c r="E56" s="49"/>
      <c r="F56" s="50"/>
      <c r="G56" s="54"/>
      <c r="H56" s="55"/>
      <c r="I56" s="55"/>
      <c r="J56" s="56"/>
      <c r="L56" s="235">
        <v>44287</v>
      </c>
      <c r="M56" s="236"/>
      <c r="N56" s="157">
        <f t="shared" si="0"/>
        <v>1045.8310820768397</v>
      </c>
      <c r="O56" s="158"/>
      <c r="P56" s="216">
        <f t="shared" si="1"/>
        <v>357.0677549889744</v>
      </c>
      <c r="Q56" s="158"/>
      <c r="R56" s="157">
        <f t="shared" si="2"/>
        <v>688.76332708786526</v>
      </c>
      <c r="S56" s="158"/>
      <c r="T56" s="216">
        <f t="shared" si="3"/>
        <v>224827.71350805389</v>
      </c>
      <c r="U56" s="217"/>
      <c r="W56" s="65" t="s">
        <v>50</v>
      </c>
      <c r="X56" s="66"/>
      <c r="Y56" s="66"/>
      <c r="Z56" s="66"/>
      <c r="AA56" s="31">
        <f>((AA30/12)-AA46-R15-G39-G43-G45-G47-G49-G51)</f>
        <v>921.73695765564446</v>
      </c>
      <c r="AB56" s="31"/>
      <c r="AC56" s="31">
        <f>((AA30/12)-AC46-R15-G39-G43-G45-G47-G49-G51)</f>
        <v>914.4157567225144</v>
      </c>
      <c r="AD56" s="31"/>
      <c r="AE56" s="31">
        <f>((AA30/12)-AE46-R15-G39-G43-G45-G47-G49-G51)</f>
        <v>906.9542352018608</v>
      </c>
      <c r="AF56" s="31"/>
      <c r="AG56" s="31">
        <f>((AA30/12)-AG46-R15-G39-G43-G45-G47-G49-G51)</f>
        <v>899.34970366233767</v>
      </c>
      <c r="AH56" s="31"/>
      <c r="AI56" s="31">
        <f>((AA30/12)-AI46-R15-G39-G43-G45-G47-G49-G51)</f>
        <v>891.59942112605734</v>
      </c>
      <c r="AJ56" s="31"/>
      <c r="AK56" s="31">
        <f>((AA30/12)-AK46-R15-G39-G43-G45-G47-G49-G51)</f>
        <v>883.70059408063173</v>
      </c>
      <c r="AL56" s="31"/>
      <c r="AM56" s="31">
        <f>((AA30/12)-AM46-R15-G39-G43-G45-G47-G49-G51)</f>
        <v>875.65037547228042</v>
      </c>
      <c r="AN56" s="31"/>
      <c r="AO56" s="31">
        <f>((AA30/12)-AO46-R15-G39-G43-G45-G47-G49-G51)</f>
        <v>867.44586367963723</v>
      </c>
      <c r="AP56" s="31"/>
      <c r="AQ56" s="31">
        <f>((AA30/12)-AQ46-R15-G39-G43-G45-G47-G49-G51)</f>
        <v>859.08410146788913</v>
      </c>
      <c r="AR56" s="31"/>
      <c r="AS56" s="31">
        <f>((AA30/12)-AS46-R15-G39-G43-G45-G47-G49-G51)</f>
        <v>850.5620749228716</v>
      </c>
      <c r="AT56" s="31"/>
      <c r="AU56" s="31">
        <f>((AA30/12)-AU46-R15-G39-G43-G45-G47-G49-G51)</f>
        <v>259.87671236473142</v>
      </c>
      <c r="AV56" s="31"/>
      <c r="AW56" s="31">
        <f>((AA30/12)-AW46-R15-G39-G43-G45-G47-G49-G51)</f>
        <v>251.02488324077166</v>
      </c>
      <c r="AX56" s="31"/>
      <c r="AY56" s="31">
        <f>((AA30/12)-AY46-R15-G39-G43-G45-G47-G49-G51)</f>
        <v>242.00339699707473</v>
      </c>
      <c r="AZ56" s="31"/>
      <c r="BA56" s="31">
        <f>((AA30/12)-BA46-R15-G39-G43-G45-G47-G49-G51)</f>
        <v>232.80900192850021</v>
      </c>
      <c r="BB56" s="31"/>
      <c r="BC56" s="31">
        <f>((AA30/12)-BC46-R15-G39-G43-G45-G47-G49-G51)</f>
        <v>223.43838400663498</v>
      </c>
      <c r="BD56" s="31"/>
      <c r="BE56" s="31">
        <f>((AA30/12)-BE46-R15-G39-G43-G45-G47-G49-G51)</f>
        <v>213.88816568529109</v>
      </c>
      <c r="BF56" s="31"/>
      <c r="BG56" s="31">
        <f>((AA30/12)-BG46-R15-G39-G43-G45-G47-G49-G51)</f>
        <v>204.15490468309889</v>
      </c>
      <c r="BH56" s="31"/>
      <c r="BI56" s="31">
        <f>((AA30/12)-BI46-R15-G39-G43-G45-G47-G49-G51)</f>
        <v>194.23509274277347</v>
      </c>
      <c r="BJ56" s="31"/>
      <c r="BK56" s="31">
        <f>((AA30/12)-BK46-R15-G39-G43-G45-G47-G49-G51)</f>
        <v>184.12515436659322</v>
      </c>
      <c r="BL56" s="31"/>
      <c r="BM56" s="31">
        <f>((AA30/12)-BM46-R15-G39-G43-G45-G47-G49-G51)</f>
        <v>173.82144552765402</v>
      </c>
      <c r="BN56" s="31"/>
      <c r="BO56" s="31">
        <f>((AA30/12)-BO46-R15-G39-G43-G45-G47-G49-G51)</f>
        <v>163.32025235640907</v>
      </c>
      <c r="BP56" s="31"/>
      <c r="BQ56" s="31">
        <f>((AA30/12)-BQ46-R15-G39-G43-G45-G47-G49-G51)</f>
        <v>152.61778980204775</v>
      </c>
      <c r="BR56" s="31"/>
      <c r="BS56" s="31">
        <f>((AA30/12)-BS46-R15-G39-G43-G45-G47-G49-G51)</f>
        <v>141.71020026820719</v>
      </c>
      <c r="BT56" s="31"/>
      <c r="BU56" s="31">
        <f>((AA30/12)-BU46-R15-G39-G43-G45-G47-G49-G51)</f>
        <v>130.59355222254175</v>
      </c>
      <c r="BV56" s="31"/>
      <c r="BW56" s="31">
        <f>((AA30/12)-BW46-R15-G39-G43-G45-G47-G49-G51)</f>
        <v>119.26383877964047</v>
      </c>
      <c r="BX56" s="72"/>
      <c r="BY56" s="72">
        <f>((AA30/12)-BY46-G39-G43-G45-G47-G49-G51)</f>
        <v>1158.8766666666668</v>
      </c>
      <c r="BZ56" s="128"/>
    </row>
    <row r="57" spans="1:78" x14ac:dyDescent="0.35">
      <c r="A57" s="306" t="s">
        <v>73</v>
      </c>
      <c r="B57" s="307"/>
      <c r="C57" s="307"/>
      <c r="D57" s="307"/>
      <c r="E57" s="307"/>
      <c r="F57" s="308"/>
      <c r="G57" s="300">
        <v>5000</v>
      </c>
      <c r="H57" s="301"/>
      <c r="I57" s="301"/>
      <c r="J57" s="302"/>
      <c r="L57" s="165">
        <v>44317</v>
      </c>
      <c r="M57" s="166"/>
      <c r="N57" s="157">
        <f t="shared" si="0"/>
        <v>1045.8310820768397</v>
      </c>
      <c r="O57" s="158"/>
      <c r="P57" s="216">
        <f t="shared" si="1"/>
        <v>355.97721305441866</v>
      </c>
      <c r="Q57" s="158"/>
      <c r="R57" s="157">
        <f t="shared" si="2"/>
        <v>689.85386902242112</v>
      </c>
      <c r="S57" s="158"/>
      <c r="T57" s="216">
        <f t="shared" si="3"/>
        <v>224137.85963903146</v>
      </c>
      <c r="U57" s="217"/>
      <c r="W57" s="65"/>
      <c r="X57" s="66"/>
      <c r="Y57" s="66"/>
      <c r="Z57" s="66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72"/>
      <c r="BY57" s="35"/>
      <c r="BZ57" s="36"/>
    </row>
    <row r="58" spans="1:78" x14ac:dyDescent="0.35">
      <c r="A58" s="309"/>
      <c r="B58" s="310"/>
      <c r="C58" s="310"/>
      <c r="D58" s="310"/>
      <c r="E58" s="310"/>
      <c r="F58" s="311"/>
      <c r="G58" s="303"/>
      <c r="H58" s="304"/>
      <c r="I58" s="304"/>
      <c r="J58" s="305"/>
      <c r="L58" s="235">
        <v>44348</v>
      </c>
      <c r="M58" s="236"/>
      <c r="N58" s="157">
        <f t="shared" si="0"/>
        <v>1045.8310820768397</v>
      </c>
      <c r="O58" s="158"/>
      <c r="P58" s="216">
        <f t="shared" si="1"/>
        <v>354.8849444284665</v>
      </c>
      <c r="Q58" s="158"/>
      <c r="R58" s="157">
        <f t="shared" si="2"/>
        <v>690.94613764837322</v>
      </c>
      <c r="S58" s="158"/>
      <c r="T58" s="216">
        <f t="shared" si="3"/>
        <v>223446.9135013831</v>
      </c>
      <c r="U58" s="217"/>
      <c r="W58" s="65" t="s">
        <v>51</v>
      </c>
      <c r="X58" s="66"/>
      <c r="Y58" s="66"/>
      <c r="Z58" s="66"/>
      <c r="AA58" s="31">
        <f>((AA30/12)-AA48-R15-G39-G43-G45-G47-G49-G51)</f>
        <v>856.85045408628469</v>
      </c>
      <c r="AB58" s="31"/>
      <c r="AC58" s="31">
        <f>((AA30/12)-AC48-R15-G39-G43-G45-G47-G49-G51)</f>
        <v>849.02607783129008</v>
      </c>
      <c r="AD58" s="31"/>
      <c r="AE58" s="31">
        <f>((AA30/12)-AE48-R15-G39-G43-G45-G47-G49-G51)</f>
        <v>841.05173696213853</v>
      </c>
      <c r="AF58" s="31"/>
      <c r="AG58" s="31">
        <f>((AA30/12)-AG48-R15-G39-G43-G45-G47-G49-G51)</f>
        <v>832.9245572068404</v>
      </c>
      <c r="AH58" s="31"/>
      <c r="AI58" s="31">
        <f>((AA30/12)-AI48-R15-G39-G43-G45-G47-G49-G51)</f>
        <v>824.64160920414827</v>
      </c>
      <c r="AJ58" s="31"/>
      <c r="AK58" s="31">
        <f>((AA30/12)-AK48-R15-G39-G43-G45-G47-G49-G51)</f>
        <v>816.19990744769723</v>
      </c>
      <c r="AL58" s="31"/>
      <c r="AM58" s="31">
        <f>((AA30/12)-AM48-R15-G39-G43-G45-G47-G49-G51)</f>
        <v>807.5964092099058</v>
      </c>
      <c r="AN58" s="31"/>
      <c r="AO58" s="31">
        <f>((AA30/12)-AO48-R15-G39-G43-G45-G47-G49-G51)</f>
        <v>798.8280134452599</v>
      </c>
      <c r="AP58" s="31"/>
      <c r="AQ58" s="31">
        <f>((AA30/12)-AQ48-R15-G39-G43-G45-G47-G49-G51)</f>
        <v>789.89155967256704</v>
      </c>
      <c r="AR58" s="31"/>
      <c r="AS58" s="31">
        <f>((AA30/12)-AS48-R15-G39-G43-G45-G47-G49-G51)</f>
        <v>780.78382683579559</v>
      </c>
      <c r="AT58" s="31"/>
      <c r="AU58" s="31">
        <f>((AA30/12)-AU48-R15-G39-G43-G45-G47-G49-G51)</f>
        <v>149.50153214307505</v>
      </c>
      <c r="AV58" s="31"/>
      <c r="AW58" s="31">
        <f>((AA30/12)-AW48-R15-G39-G43-G45-G47-G49-G51)</f>
        <v>140.04132988344821</v>
      </c>
      <c r="AX58" s="31"/>
      <c r="AY58" s="31">
        <f>((AA30/12)-AY48-R15-G39-G43-G45-G47-G49-G51)</f>
        <v>130.39981022094088</v>
      </c>
      <c r="AZ58" s="31"/>
      <c r="BA58" s="31">
        <f>((AA30/12)-BA48-R15-G39-G43-G45-G47-G49-G51)</f>
        <v>120.57349796552187</v>
      </c>
      <c r="BB58" s="31"/>
      <c r="BC58" s="31">
        <f>((AA30/12)-BC48-R15-G39-G43-G45-G47-G49-G51)</f>
        <v>110.55885132050427</v>
      </c>
      <c r="BD58" s="31"/>
      <c r="BE58" s="31">
        <f>((AA30/12)-BE48-R15-G39-G43-G45-G47-G49-G51)</f>
        <v>100.35226060594134</v>
      </c>
      <c r="BF58" s="31"/>
      <c r="BG58" s="31">
        <f>((AA30/12)-BG48-R15-G39-G43-G45-G47-G49-G51)</f>
        <v>89.950046957550668</v>
      </c>
      <c r="BH58" s="31"/>
      <c r="BI58" s="31">
        <f>((AA30/12)-BI48-R15-G39-G43-G45-G47-G49-G51)</f>
        <v>79.348461000707559</v>
      </c>
      <c r="BJ58" s="31"/>
      <c r="BK58" s="31">
        <f>((AA30/12)-BK48-R15-G39-G43-G45-G47-G49-G51)</f>
        <v>68.543681499017268</v>
      </c>
      <c r="BL58" s="31"/>
      <c r="BM58" s="31">
        <f>((AA30/12)-BM48-R15-G39-G43-G45-G47-G49-G51)</f>
        <v>57.531813976988971</v>
      </c>
      <c r="BN58" s="31"/>
      <c r="BO58" s="31">
        <f>((AA30/12)-BO48-R15-G39-G43-G45-G47-G49-G51)</f>
        <v>46.308889316311635</v>
      </c>
      <c r="BP58" s="31"/>
      <c r="BQ58" s="31">
        <f>((AA30/12)-BQ48-R15-G39-G43-G45-G47-G49-G51)</f>
        <v>34.870862325224309</v>
      </c>
      <c r="BR58" s="31"/>
      <c r="BS58" s="31">
        <f>((AA30/12)-BS48-R15-G39-G43-G45-G47-G49-G51)</f>
        <v>23.213610280466966</v>
      </c>
      <c r="BT58" s="31"/>
      <c r="BU58" s="31">
        <f>((AA30/12)-BU48-R15-G39-G43-G45-G47-G49-G51)</f>
        <v>11.332931441284856</v>
      </c>
      <c r="BV58" s="31"/>
      <c r="BW58" s="31">
        <f>((AA30/12)-BW48-R15-G39-G43-G45-G47-G49-G51)</f>
        <v>-0.77545646504593435</v>
      </c>
      <c r="BX58" s="72"/>
      <c r="BY58" s="72">
        <f>((AA30/12)-BY48-G39-G43-G45-G47-G49-G51)</f>
        <v>1038.4100000000003</v>
      </c>
      <c r="BZ58" s="128"/>
    </row>
    <row r="59" spans="1:78" ht="16" thickBot="1" x14ac:dyDescent="0.4">
      <c r="A59" s="312" t="s">
        <v>74</v>
      </c>
      <c r="B59" s="313"/>
      <c r="C59" s="313"/>
      <c r="D59" s="313"/>
      <c r="E59" s="313"/>
      <c r="F59" s="314"/>
      <c r="G59" s="318">
        <v>12320</v>
      </c>
      <c r="H59" s="319"/>
      <c r="I59" s="319"/>
      <c r="J59" s="320"/>
      <c r="L59" s="165">
        <v>44378</v>
      </c>
      <c r="M59" s="166"/>
      <c r="N59" s="157">
        <f t="shared" si="0"/>
        <v>1045.8310820768397</v>
      </c>
      <c r="O59" s="158"/>
      <c r="P59" s="216">
        <f t="shared" si="1"/>
        <v>353.79094637718987</v>
      </c>
      <c r="Q59" s="158"/>
      <c r="R59" s="157">
        <f t="shared" si="2"/>
        <v>692.04013569964991</v>
      </c>
      <c r="S59" s="158"/>
      <c r="T59" s="216">
        <f t="shared" si="3"/>
        <v>222754.87336568345</v>
      </c>
      <c r="U59" s="217"/>
      <c r="W59" s="67"/>
      <c r="X59" s="68"/>
      <c r="Y59" s="68"/>
      <c r="Z59" s="68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107"/>
      <c r="BY59" s="107"/>
      <c r="BZ59" s="129"/>
    </row>
    <row r="60" spans="1:78" ht="16" thickTop="1" x14ac:dyDescent="0.35">
      <c r="A60" s="315"/>
      <c r="B60" s="316"/>
      <c r="C60" s="316"/>
      <c r="D60" s="316"/>
      <c r="E60" s="316"/>
      <c r="F60" s="317"/>
      <c r="G60" s="321"/>
      <c r="H60" s="322"/>
      <c r="I60" s="322"/>
      <c r="J60" s="323"/>
      <c r="L60" s="235">
        <v>44409</v>
      </c>
      <c r="M60" s="236"/>
      <c r="N60" s="157">
        <f t="shared" si="0"/>
        <v>1045.8310820768397</v>
      </c>
      <c r="O60" s="158"/>
      <c r="P60" s="216">
        <f t="shared" si="1"/>
        <v>352.69521616233214</v>
      </c>
      <c r="Q60" s="158"/>
      <c r="R60" s="157">
        <f t="shared" si="2"/>
        <v>693.13586591450758</v>
      </c>
      <c r="S60" s="158"/>
      <c r="T60" s="216">
        <f t="shared" si="3"/>
        <v>222061.73749976893</v>
      </c>
      <c r="U60" s="217"/>
    </row>
    <row r="61" spans="1:78" x14ac:dyDescent="0.35">
      <c r="A61" s="330" t="s">
        <v>75</v>
      </c>
      <c r="B61" s="331"/>
      <c r="C61" s="331"/>
      <c r="D61" s="331"/>
      <c r="E61" s="331"/>
      <c r="F61" s="332"/>
      <c r="G61" s="324">
        <v>25000</v>
      </c>
      <c r="H61" s="325"/>
      <c r="I61" s="325"/>
      <c r="J61" s="326"/>
      <c r="L61" s="165">
        <v>44440</v>
      </c>
      <c r="M61" s="166"/>
      <c r="N61" s="157">
        <f t="shared" si="0"/>
        <v>1045.8310820768397</v>
      </c>
      <c r="O61" s="158"/>
      <c r="P61" s="216">
        <f t="shared" si="1"/>
        <v>351.5977510413008</v>
      </c>
      <c r="Q61" s="158"/>
      <c r="R61" s="157">
        <f t="shared" si="2"/>
        <v>694.23333103553887</v>
      </c>
      <c r="S61" s="158"/>
      <c r="T61" s="216">
        <f t="shared" si="3"/>
        <v>221367.5041687334</v>
      </c>
      <c r="U61" s="217"/>
    </row>
    <row r="62" spans="1:78" ht="16" thickBot="1" x14ac:dyDescent="0.4">
      <c r="A62" s="333"/>
      <c r="B62" s="334"/>
      <c r="C62" s="334"/>
      <c r="D62" s="334"/>
      <c r="E62" s="334"/>
      <c r="F62" s="335"/>
      <c r="G62" s="327"/>
      <c r="H62" s="328"/>
      <c r="I62" s="328"/>
      <c r="J62" s="329"/>
      <c r="L62" s="235">
        <v>44470</v>
      </c>
      <c r="M62" s="236"/>
      <c r="N62" s="157">
        <f t="shared" si="0"/>
        <v>1045.8310820768397</v>
      </c>
      <c r="O62" s="158"/>
      <c r="P62" s="216">
        <f t="shared" si="1"/>
        <v>350.4985482671612</v>
      </c>
      <c r="Q62" s="158"/>
      <c r="R62" s="157">
        <f t="shared" si="2"/>
        <v>695.33253380967858</v>
      </c>
      <c r="S62" s="158"/>
      <c r="T62" s="216">
        <f t="shared" si="3"/>
        <v>220672.17163492372</v>
      </c>
      <c r="U62" s="217"/>
    </row>
    <row r="63" spans="1:78" ht="16" thickTop="1" x14ac:dyDescent="0.35">
      <c r="A63" s="342" t="s">
        <v>77</v>
      </c>
      <c r="B63" s="343"/>
      <c r="C63" s="343"/>
      <c r="D63" s="343"/>
      <c r="E63" s="343"/>
      <c r="F63" s="343"/>
      <c r="G63" s="346">
        <f>C77</f>
        <v>2975</v>
      </c>
      <c r="H63" s="347"/>
      <c r="I63" s="347"/>
      <c r="J63" s="348"/>
      <c r="L63" s="165">
        <v>44501</v>
      </c>
      <c r="M63" s="166"/>
      <c r="N63" s="157">
        <f t="shared" si="0"/>
        <v>1045.8310820768397</v>
      </c>
      <c r="O63" s="158"/>
      <c r="P63" s="216">
        <f t="shared" si="1"/>
        <v>349.39760508862923</v>
      </c>
      <c r="Q63" s="158"/>
      <c r="R63" s="157">
        <f t="shared" si="2"/>
        <v>696.43347698821049</v>
      </c>
      <c r="S63" s="158"/>
      <c r="T63" s="216">
        <f t="shared" si="3"/>
        <v>219975.73815793553</v>
      </c>
      <c r="U63" s="217"/>
      <c r="W63" s="108" t="s">
        <v>81</v>
      </c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10"/>
      <c r="BY63" s="116"/>
      <c r="BZ63" s="117"/>
    </row>
    <row r="64" spans="1:78" ht="16" thickBot="1" x14ac:dyDescent="0.4">
      <c r="A64" s="344"/>
      <c r="B64" s="345"/>
      <c r="C64" s="345"/>
      <c r="D64" s="345"/>
      <c r="E64" s="345"/>
      <c r="F64" s="345"/>
      <c r="G64" s="349"/>
      <c r="H64" s="349"/>
      <c r="I64" s="349"/>
      <c r="J64" s="350"/>
      <c r="L64" s="235">
        <v>44531</v>
      </c>
      <c r="M64" s="236"/>
      <c r="N64" s="157">
        <f t="shared" si="0"/>
        <v>1045.8310820768397</v>
      </c>
      <c r="O64" s="158"/>
      <c r="P64" s="216">
        <f t="shared" si="1"/>
        <v>348.2949187500646</v>
      </c>
      <c r="Q64" s="158"/>
      <c r="R64" s="157">
        <f t="shared" si="2"/>
        <v>697.53616332677507</v>
      </c>
      <c r="S64" s="158"/>
      <c r="T64" s="216">
        <f t="shared" si="3"/>
        <v>219278.20199460874</v>
      </c>
      <c r="U64" s="217"/>
      <c r="W64" s="111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3"/>
      <c r="BY64" s="118"/>
      <c r="BZ64" s="119"/>
    </row>
    <row r="65" spans="1:78" ht="16" thickTop="1" x14ac:dyDescent="0.35">
      <c r="A65" s="258" t="s">
        <v>72</v>
      </c>
      <c r="B65" s="259"/>
      <c r="C65" s="259"/>
      <c r="D65" s="259"/>
      <c r="E65" s="259"/>
      <c r="F65" s="259"/>
      <c r="G65" s="259"/>
      <c r="H65" s="259"/>
      <c r="I65" s="259"/>
      <c r="J65" s="260"/>
      <c r="L65" s="165">
        <v>44562</v>
      </c>
      <c r="M65" s="166"/>
      <c r="N65" s="157">
        <f t="shared" si="0"/>
        <v>1045.8310820768397</v>
      </c>
      <c r="O65" s="158"/>
      <c r="P65" s="216">
        <f t="shared" si="1"/>
        <v>347.19048649146384</v>
      </c>
      <c r="Q65" s="158"/>
      <c r="R65" s="157">
        <f t="shared" si="2"/>
        <v>698.64059558537588</v>
      </c>
      <c r="S65" s="158"/>
      <c r="T65" s="216">
        <f t="shared" si="3"/>
        <v>218579.56139902337</v>
      </c>
      <c r="U65" s="217"/>
      <c r="W65" s="103" t="s">
        <v>40</v>
      </c>
      <c r="X65" s="88"/>
      <c r="Y65" s="88"/>
      <c r="Z65" s="88"/>
      <c r="AA65" s="88">
        <v>1</v>
      </c>
      <c r="AB65" s="88"/>
      <c r="AC65" s="88">
        <v>2</v>
      </c>
      <c r="AD65" s="88"/>
      <c r="AE65" s="88">
        <v>3</v>
      </c>
      <c r="AF65" s="88"/>
      <c r="AG65" s="88">
        <v>4</v>
      </c>
      <c r="AH65" s="88"/>
      <c r="AI65" s="88">
        <v>5</v>
      </c>
      <c r="AJ65" s="88"/>
      <c r="AK65" s="88">
        <v>6</v>
      </c>
      <c r="AL65" s="88"/>
      <c r="AM65" s="88">
        <v>7</v>
      </c>
      <c r="AN65" s="88"/>
      <c r="AO65" s="88">
        <v>8</v>
      </c>
      <c r="AP65" s="88"/>
      <c r="AQ65" s="88">
        <v>9</v>
      </c>
      <c r="AR65" s="88"/>
      <c r="AS65" s="88">
        <v>10</v>
      </c>
      <c r="AT65" s="88"/>
      <c r="AU65" s="88">
        <v>11</v>
      </c>
      <c r="AV65" s="88"/>
      <c r="AW65" s="88">
        <v>12</v>
      </c>
      <c r="AX65" s="88"/>
      <c r="AY65" s="88">
        <v>13</v>
      </c>
      <c r="AZ65" s="88"/>
      <c r="BA65" s="88">
        <v>14</v>
      </c>
      <c r="BB65" s="88"/>
      <c r="BC65" s="88">
        <v>15</v>
      </c>
      <c r="BD65" s="88"/>
      <c r="BE65" s="88">
        <v>16</v>
      </c>
      <c r="BF65" s="88"/>
      <c r="BG65" s="88">
        <v>17</v>
      </c>
      <c r="BH65" s="88"/>
      <c r="BI65" s="88">
        <v>18</v>
      </c>
      <c r="BJ65" s="88"/>
      <c r="BK65" s="88">
        <v>19</v>
      </c>
      <c r="BL65" s="88"/>
      <c r="BM65" s="88">
        <v>20</v>
      </c>
      <c r="BN65" s="88"/>
      <c r="BO65" s="88">
        <v>21</v>
      </c>
      <c r="BP65" s="88"/>
      <c r="BQ65" s="88">
        <v>22</v>
      </c>
      <c r="BR65" s="88"/>
      <c r="BS65" s="88">
        <v>23</v>
      </c>
      <c r="BT65" s="88"/>
      <c r="BU65" s="88">
        <v>24</v>
      </c>
      <c r="BV65" s="88"/>
      <c r="BW65" s="88">
        <v>25</v>
      </c>
      <c r="BX65" s="114"/>
      <c r="BY65" s="120">
        <v>26</v>
      </c>
      <c r="BZ65" s="121"/>
    </row>
    <row r="66" spans="1:78" ht="16" thickBot="1" x14ac:dyDescent="0.4">
      <c r="A66" s="270"/>
      <c r="B66" s="271"/>
      <c r="C66" s="271"/>
      <c r="D66" s="271"/>
      <c r="E66" s="271"/>
      <c r="F66" s="271"/>
      <c r="G66" s="271"/>
      <c r="H66" s="271"/>
      <c r="I66" s="271"/>
      <c r="J66" s="272"/>
      <c r="L66" s="235">
        <v>44593</v>
      </c>
      <c r="M66" s="236"/>
      <c r="N66" s="157">
        <f t="shared" si="0"/>
        <v>1045.8310820768397</v>
      </c>
      <c r="O66" s="158"/>
      <c r="P66" s="216">
        <f t="shared" si="1"/>
        <v>346.08430554845364</v>
      </c>
      <c r="Q66" s="158"/>
      <c r="R66" s="157">
        <f t="shared" si="2"/>
        <v>699.74677652838614</v>
      </c>
      <c r="S66" s="158"/>
      <c r="T66" s="216">
        <f t="shared" si="3"/>
        <v>217879.81462249497</v>
      </c>
      <c r="U66" s="217"/>
      <c r="W66" s="83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115"/>
      <c r="BY66" s="84"/>
      <c r="BZ66" s="122"/>
    </row>
    <row r="67" spans="1:78" ht="16" thickTop="1" x14ac:dyDescent="0.35">
      <c r="A67" s="351" t="s">
        <v>63</v>
      </c>
      <c r="B67" s="352"/>
      <c r="C67" s="359" t="s">
        <v>64</v>
      </c>
      <c r="D67" s="359"/>
      <c r="E67" s="359" t="s">
        <v>65</v>
      </c>
      <c r="F67" s="359"/>
      <c r="G67" s="363" t="s">
        <v>66</v>
      </c>
      <c r="H67" s="364"/>
      <c r="I67" s="336" t="s">
        <v>76</v>
      </c>
      <c r="J67" s="337"/>
      <c r="L67" s="165">
        <v>44621</v>
      </c>
      <c r="M67" s="166"/>
      <c r="N67" s="157">
        <f t="shared" si="0"/>
        <v>1045.8310820768397</v>
      </c>
      <c r="O67" s="158"/>
      <c r="P67" s="216">
        <f t="shared" si="1"/>
        <v>344.97637315228371</v>
      </c>
      <c r="Q67" s="158"/>
      <c r="R67" s="157">
        <f t="shared" si="2"/>
        <v>700.85470892455601</v>
      </c>
      <c r="S67" s="158"/>
      <c r="T67" s="216">
        <f t="shared" si="3"/>
        <v>217178.9599135704</v>
      </c>
      <c r="U67" s="217"/>
      <c r="W67" s="93" t="s">
        <v>43</v>
      </c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5"/>
      <c r="BY67" s="99"/>
      <c r="BZ67" s="100"/>
    </row>
    <row r="68" spans="1:78" ht="16" thickBot="1" x14ac:dyDescent="0.4">
      <c r="A68" s="353"/>
      <c r="B68" s="354"/>
      <c r="C68" s="356"/>
      <c r="D68" s="356"/>
      <c r="E68" s="356"/>
      <c r="F68" s="356"/>
      <c r="G68" s="356"/>
      <c r="H68" s="365"/>
      <c r="I68" s="338"/>
      <c r="J68" s="339"/>
      <c r="L68" s="235">
        <v>44652</v>
      </c>
      <c r="M68" s="236"/>
      <c r="N68" s="157">
        <f t="shared" si="0"/>
        <v>1045.8310820768397</v>
      </c>
      <c r="O68" s="158"/>
      <c r="P68" s="216">
        <f t="shared" si="1"/>
        <v>343.86668652981979</v>
      </c>
      <c r="Q68" s="158"/>
      <c r="R68" s="157">
        <f t="shared" si="2"/>
        <v>701.96439554701988</v>
      </c>
      <c r="S68" s="158"/>
      <c r="T68" s="216">
        <f t="shared" si="3"/>
        <v>216476.99551802338</v>
      </c>
      <c r="U68" s="217"/>
      <c r="W68" s="96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8"/>
      <c r="BY68" s="101"/>
      <c r="BZ68" s="102"/>
    </row>
    <row r="69" spans="1:78" ht="16" thickTop="1" x14ac:dyDescent="0.35">
      <c r="A69" s="355" t="s">
        <v>67</v>
      </c>
      <c r="B69" s="356"/>
      <c r="C69" s="360">
        <f>(G57 * 0.41)</f>
        <v>2050</v>
      </c>
      <c r="D69" s="360"/>
      <c r="E69" s="366">
        <f>((G59 * 0.245)+824)</f>
        <v>3842.4</v>
      </c>
      <c r="F69" s="366"/>
      <c r="G69" s="293">
        <f>G61*0.286</f>
        <v>7149.9999999999991</v>
      </c>
      <c r="H69" s="294"/>
      <c r="I69" s="338"/>
      <c r="J69" s="339"/>
      <c r="L69" s="165">
        <v>44682</v>
      </c>
      <c r="M69" s="166"/>
      <c r="N69" s="157">
        <f t="shared" si="0"/>
        <v>1045.8310820768397</v>
      </c>
      <c r="O69" s="158"/>
      <c r="P69" s="216">
        <f t="shared" si="1"/>
        <v>342.75524290353701</v>
      </c>
      <c r="Q69" s="158"/>
      <c r="R69" s="157">
        <f t="shared" si="2"/>
        <v>703.07583917330271</v>
      </c>
      <c r="S69" s="158"/>
      <c r="T69" s="216">
        <f t="shared" si="3"/>
        <v>215773.91967885007</v>
      </c>
      <c r="U69" s="217"/>
      <c r="W69" s="103" t="s">
        <v>44</v>
      </c>
      <c r="X69" s="88"/>
      <c r="Y69" s="88"/>
      <c r="Z69" s="88"/>
      <c r="AA69" s="87">
        <f>$G$3</f>
        <v>45000</v>
      </c>
      <c r="AB69" s="88"/>
      <c r="AC69" s="87">
        <f>$G$3</f>
        <v>45000</v>
      </c>
      <c r="AD69" s="88"/>
      <c r="AE69" s="87">
        <f t="shared" ref="AE69" si="136">$G$3</f>
        <v>45000</v>
      </c>
      <c r="AF69" s="88"/>
      <c r="AG69" s="87">
        <f t="shared" ref="AG69" si="137">$G$3</f>
        <v>45000</v>
      </c>
      <c r="AH69" s="88"/>
      <c r="AI69" s="87">
        <f t="shared" ref="AI69" si="138">$G$3</f>
        <v>45000</v>
      </c>
      <c r="AJ69" s="88"/>
      <c r="AK69" s="87">
        <f t="shared" ref="AK69" si="139">$G$3</f>
        <v>45000</v>
      </c>
      <c r="AL69" s="88"/>
      <c r="AM69" s="87">
        <f t="shared" ref="AM69" si="140">$G$3</f>
        <v>45000</v>
      </c>
      <c r="AN69" s="88"/>
      <c r="AO69" s="87">
        <f t="shared" ref="AO69" si="141">$G$3</f>
        <v>45000</v>
      </c>
      <c r="AP69" s="88"/>
      <c r="AQ69" s="87">
        <f t="shared" ref="AQ69" si="142">$G$3</f>
        <v>45000</v>
      </c>
      <c r="AR69" s="88"/>
      <c r="AS69" s="87">
        <f t="shared" ref="AS69" si="143">$G$3</f>
        <v>45000</v>
      </c>
      <c r="AT69" s="88"/>
      <c r="AU69" s="87">
        <f t="shared" ref="AU69" si="144">$G$3</f>
        <v>45000</v>
      </c>
      <c r="AV69" s="88"/>
      <c r="AW69" s="87">
        <f t="shared" ref="AW69" si="145">$G$3</f>
        <v>45000</v>
      </c>
      <c r="AX69" s="88"/>
      <c r="AY69" s="87">
        <f t="shared" ref="AY69" si="146">$G$3</f>
        <v>45000</v>
      </c>
      <c r="AZ69" s="88"/>
      <c r="BA69" s="87">
        <f t="shared" ref="BA69" si="147">$G$3</f>
        <v>45000</v>
      </c>
      <c r="BB69" s="88"/>
      <c r="BC69" s="87">
        <f t="shared" ref="BC69" si="148">$G$3</f>
        <v>45000</v>
      </c>
      <c r="BD69" s="88"/>
      <c r="BE69" s="87">
        <f t="shared" ref="BE69" si="149">$G$3</f>
        <v>45000</v>
      </c>
      <c r="BF69" s="88"/>
      <c r="BG69" s="87">
        <f t="shared" ref="BG69" si="150">$G$3</f>
        <v>45000</v>
      </c>
      <c r="BH69" s="88"/>
      <c r="BI69" s="87">
        <f t="shared" ref="BI69" si="151">$G$3</f>
        <v>45000</v>
      </c>
      <c r="BJ69" s="88"/>
      <c r="BK69" s="87">
        <f t="shared" ref="BK69" si="152">$G$3</f>
        <v>45000</v>
      </c>
      <c r="BL69" s="88"/>
      <c r="BM69" s="87">
        <f t="shared" ref="BM69" si="153">$G$3</f>
        <v>45000</v>
      </c>
      <c r="BN69" s="88"/>
      <c r="BO69" s="87">
        <f t="shared" ref="BO69" si="154">$G$3</f>
        <v>45000</v>
      </c>
      <c r="BP69" s="88"/>
      <c r="BQ69" s="87">
        <f t="shared" ref="BQ69" si="155">$G$3</f>
        <v>45000</v>
      </c>
      <c r="BR69" s="88"/>
      <c r="BS69" s="87">
        <f t="shared" ref="BS69" si="156">$G$3</f>
        <v>45000</v>
      </c>
      <c r="BT69" s="88"/>
      <c r="BU69" s="87">
        <f t="shared" ref="BU69" si="157">$G$3</f>
        <v>45000</v>
      </c>
      <c r="BV69" s="88"/>
      <c r="BW69" s="87">
        <f t="shared" ref="BW69" si="158">$G$3</f>
        <v>45000</v>
      </c>
      <c r="BX69" s="88"/>
      <c r="BY69" s="265">
        <f t="shared" ref="BY69" si="159">$G$3</f>
        <v>45000</v>
      </c>
      <c r="BZ69" s="121"/>
    </row>
    <row r="70" spans="1:78" x14ac:dyDescent="0.35">
      <c r="A70" s="355"/>
      <c r="B70" s="356"/>
      <c r="C70" s="360"/>
      <c r="D70" s="360"/>
      <c r="E70" s="366"/>
      <c r="F70" s="366"/>
      <c r="G70" s="293"/>
      <c r="H70" s="294"/>
      <c r="I70" s="338"/>
      <c r="J70" s="339"/>
      <c r="L70" s="235">
        <v>44713</v>
      </c>
      <c r="M70" s="236"/>
      <c r="N70" s="157">
        <f t="shared" si="0"/>
        <v>1045.8310820768397</v>
      </c>
      <c r="O70" s="158"/>
      <c r="P70" s="216">
        <f t="shared" si="1"/>
        <v>341.64203949151261</v>
      </c>
      <c r="Q70" s="158"/>
      <c r="R70" s="157">
        <f t="shared" si="2"/>
        <v>704.18904258532712</v>
      </c>
      <c r="S70" s="158"/>
      <c r="T70" s="216">
        <f t="shared" si="3"/>
        <v>215069.73063626475</v>
      </c>
      <c r="U70" s="217"/>
      <c r="W70" s="65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86"/>
    </row>
    <row r="71" spans="1:78" x14ac:dyDescent="0.35">
      <c r="A71" s="355" t="s">
        <v>68</v>
      </c>
      <c r="B71" s="356"/>
      <c r="C71" s="360">
        <f>G57 * 0.493</f>
        <v>2465</v>
      </c>
      <c r="D71" s="360"/>
      <c r="E71" s="366">
        <f>(G59 * 0.277) + 1082</f>
        <v>4494.6400000000003</v>
      </c>
      <c r="F71" s="366"/>
      <c r="G71" s="293">
        <f>G61*0.332</f>
        <v>8300</v>
      </c>
      <c r="H71" s="294"/>
      <c r="I71" s="338"/>
      <c r="J71" s="339"/>
      <c r="L71" s="165">
        <v>44743</v>
      </c>
      <c r="M71" s="166"/>
      <c r="N71" s="157">
        <f t="shared" si="0"/>
        <v>1045.8310820768397</v>
      </c>
      <c r="O71" s="158"/>
      <c r="P71" s="216">
        <f t="shared" si="1"/>
        <v>340.52707350741917</v>
      </c>
      <c r="Q71" s="158"/>
      <c r="R71" s="157">
        <f t="shared" si="2"/>
        <v>705.3040085694206</v>
      </c>
      <c r="S71" s="158"/>
      <c r="T71" s="216">
        <f t="shared" si="3"/>
        <v>214364.42662769533</v>
      </c>
      <c r="U71" s="217"/>
      <c r="W71" s="65" t="s">
        <v>62</v>
      </c>
      <c r="X71" s="66"/>
      <c r="Y71" s="66"/>
      <c r="Z71" s="66"/>
      <c r="AA71" s="31">
        <f>$G$7/10</f>
        <v>12000</v>
      </c>
      <c r="AB71" s="31"/>
      <c r="AC71" s="31">
        <f t="shared" ref="AC71" si="160">$G$7/10</f>
        <v>12000</v>
      </c>
      <c r="AD71" s="31"/>
      <c r="AE71" s="31">
        <f t="shared" ref="AE71" si="161">$G$7/10</f>
        <v>12000</v>
      </c>
      <c r="AF71" s="31"/>
      <c r="AG71" s="31">
        <f t="shared" ref="AG71" si="162">$G$7/10</f>
        <v>12000</v>
      </c>
      <c r="AH71" s="31"/>
      <c r="AI71" s="31">
        <f t="shared" ref="AI71" si="163">$G$7/10</f>
        <v>12000</v>
      </c>
      <c r="AJ71" s="31"/>
      <c r="AK71" s="31">
        <f>$G$7/10</f>
        <v>12000</v>
      </c>
      <c r="AL71" s="31"/>
      <c r="AM71" s="31">
        <f>$G$7/10</f>
        <v>12000</v>
      </c>
      <c r="AN71" s="31"/>
      <c r="AO71" s="31">
        <f t="shared" ref="AO71" si="164">$G$7/10</f>
        <v>12000</v>
      </c>
      <c r="AP71" s="31"/>
      <c r="AQ71" s="31">
        <f t="shared" ref="AQ71" si="165">$G$7/10</f>
        <v>12000</v>
      </c>
      <c r="AR71" s="31"/>
      <c r="AS71" s="31">
        <f t="shared" ref="AS71" si="166">$G$7/10</f>
        <v>12000</v>
      </c>
      <c r="AT71" s="31"/>
      <c r="AU71" s="31">
        <v>0</v>
      </c>
      <c r="AV71" s="31"/>
      <c r="AW71" s="31">
        <v>0</v>
      </c>
      <c r="AX71" s="31"/>
      <c r="AY71" s="31">
        <v>0</v>
      </c>
      <c r="AZ71" s="31"/>
      <c r="BA71" s="31">
        <v>0</v>
      </c>
      <c r="BB71" s="31"/>
      <c r="BC71" s="31">
        <v>0</v>
      </c>
      <c r="BD71" s="31"/>
      <c r="BE71" s="31">
        <v>0</v>
      </c>
      <c r="BF71" s="31"/>
      <c r="BG71" s="31">
        <v>0</v>
      </c>
      <c r="BH71" s="31"/>
      <c r="BI71" s="31">
        <v>0</v>
      </c>
      <c r="BJ71" s="31"/>
      <c r="BK71" s="31">
        <v>0</v>
      </c>
      <c r="BL71" s="31"/>
      <c r="BM71" s="31">
        <v>0</v>
      </c>
      <c r="BN71" s="31"/>
      <c r="BO71" s="31">
        <v>0</v>
      </c>
      <c r="BP71" s="31"/>
      <c r="BQ71" s="31">
        <v>0</v>
      </c>
      <c r="BR71" s="31"/>
      <c r="BS71" s="31">
        <v>0</v>
      </c>
      <c r="BT71" s="31"/>
      <c r="BU71" s="31">
        <v>0</v>
      </c>
      <c r="BV71" s="31"/>
      <c r="BW71" s="31">
        <v>0</v>
      </c>
      <c r="BX71" s="31"/>
      <c r="BY71" s="31">
        <v>0</v>
      </c>
      <c r="BZ71" s="33"/>
    </row>
    <row r="72" spans="1:78" x14ac:dyDescent="0.35">
      <c r="A72" s="355"/>
      <c r="B72" s="356"/>
      <c r="C72" s="360"/>
      <c r="D72" s="360"/>
      <c r="E72" s="366"/>
      <c r="F72" s="366"/>
      <c r="G72" s="293"/>
      <c r="H72" s="294"/>
      <c r="I72" s="338"/>
      <c r="J72" s="339"/>
      <c r="L72" s="235">
        <v>44774</v>
      </c>
      <c r="M72" s="236"/>
      <c r="N72" s="157">
        <f t="shared" si="0"/>
        <v>1045.8310820768397</v>
      </c>
      <c r="O72" s="158"/>
      <c r="P72" s="216">
        <f t="shared" si="1"/>
        <v>339.41034216051759</v>
      </c>
      <c r="Q72" s="158"/>
      <c r="R72" s="157">
        <f t="shared" si="2"/>
        <v>706.42073991632219</v>
      </c>
      <c r="S72" s="158"/>
      <c r="T72" s="216">
        <f t="shared" si="3"/>
        <v>213658.005887779</v>
      </c>
      <c r="U72" s="217"/>
      <c r="W72" s="65"/>
      <c r="X72" s="66"/>
      <c r="Y72" s="66"/>
      <c r="Z72" s="66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3"/>
    </row>
    <row r="73" spans="1:78" x14ac:dyDescent="0.35">
      <c r="A73" s="355" t="s">
        <v>69</v>
      </c>
      <c r="B73" s="356"/>
      <c r="C73" s="360">
        <f>G57 * 0.543</f>
        <v>2715</v>
      </c>
      <c r="D73" s="360"/>
      <c r="E73" s="366">
        <f>(G59 * 0.305) + 1188</f>
        <v>4945.6000000000004</v>
      </c>
      <c r="F73" s="366"/>
      <c r="G73" s="293">
        <f>G61*0.364</f>
        <v>9100</v>
      </c>
      <c r="H73" s="294"/>
      <c r="I73" s="338"/>
      <c r="J73" s="339"/>
      <c r="L73" s="165">
        <v>44805</v>
      </c>
      <c r="M73" s="166"/>
      <c r="N73" s="157">
        <f t="shared" si="0"/>
        <v>1045.8310820768397</v>
      </c>
      <c r="O73" s="158"/>
      <c r="P73" s="216">
        <f t="shared" si="1"/>
        <v>338.2918426556501</v>
      </c>
      <c r="Q73" s="158"/>
      <c r="R73" s="157">
        <f t="shared" si="2"/>
        <v>707.53923942118968</v>
      </c>
      <c r="S73" s="158"/>
      <c r="T73" s="216">
        <f t="shared" si="3"/>
        <v>212950.4666483578</v>
      </c>
      <c r="U73" s="217"/>
      <c r="W73" s="59" t="s">
        <v>52</v>
      </c>
      <c r="X73" s="60"/>
      <c r="Y73" s="60"/>
      <c r="Z73" s="61"/>
      <c r="AA73" s="35">
        <v>5000</v>
      </c>
      <c r="AB73" s="57"/>
      <c r="AC73" s="35">
        <v>5000</v>
      </c>
      <c r="AD73" s="57"/>
      <c r="AE73" s="35">
        <v>5000</v>
      </c>
      <c r="AF73" s="57"/>
      <c r="AG73" s="35">
        <v>5000</v>
      </c>
      <c r="AH73" s="57"/>
      <c r="AI73" s="35">
        <v>5000</v>
      </c>
      <c r="AJ73" s="57"/>
      <c r="AK73" s="35">
        <v>0</v>
      </c>
      <c r="AL73" s="57"/>
      <c r="AM73" s="35">
        <v>0</v>
      </c>
      <c r="AN73" s="57"/>
      <c r="AO73" s="35">
        <v>0</v>
      </c>
      <c r="AP73" s="57"/>
      <c r="AQ73" s="35">
        <v>0</v>
      </c>
      <c r="AR73" s="57"/>
      <c r="AS73" s="35">
        <v>0</v>
      </c>
      <c r="AT73" s="57"/>
      <c r="AU73" s="35">
        <v>0</v>
      </c>
      <c r="AV73" s="57"/>
      <c r="AW73" s="35">
        <v>0</v>
      </c>
      <c r="AX73" s="57"/>
      <c r="AY73" s="35">
        <v>0</v>
      </c>
      <c r="AZ73" s="57"/>
      <c r="BA73" s="35">
        <v>0</v>
      </c>
      <c r="BB73" s="57"/>
      <c r="BC73" s="35">
        <v>0</v>
      </c>
      <c r="BD73" s="57"/>
      <c r="BE73" s="35">
        <v>0</v>
      </c>
      <c r="BF73" s="57"/>
      <c r="BG73" s="35">
        <v>0</v>
      </c>
      <c r="BH73" s="57"/>
      <c r="BI73" s="35">
        <v>0</v>
      </c>
      <c r="BJ73" s="57"/>
      <c r="BK73" s="35">
        <v>0</v>
      </c>
      <c r="BL73" s="57"/>
      <c r="BM73" s="35">
        <v>0</v>
      </c>
      <c r="BN73" s="57"/>
      <c r="BO73" s="35">
        <v>0</v>
      </c>
      <c r="BP73" s="57"/>
      <c r="BQ73" s="35">
        <v>0</v>
      </c>
      <c r="BR73" s="57"/>
      <c r="BS73" s="35">
        <v>0</v>
      </c>
      <c r="BT73" s="57"/>
      <c r="BU73" s="35">
        <v>0</v>
      </c>
      <c r="BV73" s="57"/>
      <c r="BW73" s="35">
        <v>0</v>
      </c>
      <c r="BX73" s="57"/>
      <c r="BY73" s="35">
        <v>0</v>
      </c>
      <c r="BZ73" s="36"/>
    </row>
    <row r="74" spans="1:78" x14ac:dyDescent="0.35">
      <c r="A74" s="355"/>
      <c r="B74" s="356"/>
      <c r="C74" s="360"/>
      <c r="D74" s="360"/>
      <c r="E74" s="366"/>
      <c r="F74" s="366"/>
      <c r="G74" s="293"/>
      <c r="H74" s="294"/>
      <c r="I74" s="338"/>
      <c r="J74" s="339"/>
      <c r="L74" s="235">
        <v>44835</v>
      </c>
      <c r="M74" s="236"/>
      <c r="N74" s="157">
        <f t="shared" si="0"/>
        <v>1045.8310820768397</v>
      </c>
      <c r="O74" s="158"/>
      <c r="P74" s="216">
        <f t="shared" si="1"/>
        <v>337.1715721932332</v>
      </c>
      <c r="Q74" s="158"/>
      <c r="R74" s="157">
        <f t="shared" si="2"/>
        <v>708.65950988360646</v>
      </c>
      <c r="S74" s="158"/>
      <c r="T74" s="216">
        <f t="shared" si="3"/>
        <v>212241.80713847419</v>
      </c>
      <c r="U74" s="217"/>
      <c r="W74" s="62"/>
      <c r="X74" s="63"/>
      <c r="Y74" s="63"/>
      <c r="Z74" s="64"/>
      <c r="AA74" s="37"/>
      <c r="AB74" s="58"/>
      <c r="AC74" s="37"/>
      <c r="AD74" s="58"/>
      <c r="AE74" s="37"/>
      <c r="AF74" s="58"/>
      <c r="AG74" s="37"/>
      <c r="AH74" s="58"/>
      <c r="AI74" s="37"/>
      <c r="AJ74" s="58"/>
      <c r="AK74" s="37"/>
      <c r="AL74" s="58"/>
      <c r="AM74" s="37"/>
      <c r="AN74" s="58"/>
      <c r="AO74" s="37"/>
      <c r="AP74" s="58"/>
      <c r="AQ74" s="37"/>
      <c r="AR74" s="58"/>
      <c r="AS74" s="37"/>
      <c r="AT74" s="58"/>
      <c r="AU74" s="37"/>
      <c r="AV74" s="58"/>
      <c r="AW74" s="37"/>
      <c r="AX74" s="58"/>
      <c r="AY74" s="37"/>
      <c r="AZ74" s="58"/>
      <c r="BA74" s="37"/>
      <c r="BB74" s="58"/>
      <c r="BC74" s="37"/>
      <c r="BD74" s="58"/>
      <c r="BE74" s="37"/>
      <c r="BF74" s="58"/>
      <c r="BG74" s="37"/>
      <c r="BH74" s="58"/>
      <c r="BI74" s="37"/>
      <c r="BJ74" s="58"/>
      <c r="BK74" s="37"/>
      <c r="BL74" s="58"/>
      <c r="BM74" s="37"/>
      <c r="BN74" s="58"/>
      <c r="BO74" s="37"/>
      <c r="BP74" s="58"/>
      <c r="BQ74" s="37"/>
      <c r="BR74" s="58"/>
      <c r="BS74" s="37"/>
      <c r="BT74" s="58"/>
      <c r="BU74" s="37"/>
      <c r="BV74" s="58"/>
      <c r="BW74" s="37"/>
      <c r="BX74" s="58"/>
      <c r="BY74" s="37"/>
      <c r="BZ74" s="38"/>
    </row>
    <row r="75" spans="1:78" x14ac:dyDescent="0.35">
      <c r="A75" s="355" t="s">
        <v>70</v>
      </c>
      <c r="B75" s="356"/>
      <c r="C75" s="360">
        <f>G57 * 0.568</f>
        <v>2839.9999999999995</v>
      </c>
      <c r="D75" s="360"/>
      <c r="E75" s="366">
        <f>(G59 * 0.32) + 1244</f>
        <v>5186.3999999999996</v>
      </c>
      <c r="F75" s="366"/>
      <c r="G75" s="293">
        <f>G61*0.382</f>
        <v>9550</v>
      </c>
      <c r="H75" s="294"/>
      <c r="I75" s="338"/>
      <c r="J75" s="339"/>
      <c r="L75" s="165">
        <v>44866</v>
      </c>
      <c r="M75" s="166"/>
      <c r="N75" s="157">
        <f t="shared" si="0"/>
        <v>1045.8310820768397</v>
      </c>
      <c r="O75" s="158"/>
      <c r="P75" s="216">
        <f t="shared" si="1"/>
        <v>336.04952796925079</v>
      </c>
      <c r="Q75" s="158"/>
      <c r="R75" s="157">
        <f t="shared" si="2"/>
        <v>709.78155410758893</v>
      </c>
      <c r="S75" s="158"/>
      <c r="T75" s="216">
        <f t="shared" si="3"/>
        <v>211532.02558436661</v>
      </c>
      <c r="U75" s="217"/>
      <c r="W75" s="65" t="s">
        <v>45</v>
      </c>
      <c r="X75" s="66"/>
      <c r="Y75" s="66"/>
      <c r="Z75" s="66"/>
      <c r="AA75" s="31">
        <f>SUM(P20:Q31)</f>
        <v>4674.0489291921158</v>
      </c>
      <c r="AB75" s="66"/>
      <c r="AC75" s="31">
        <f>SUM(P32:Q43)</f>
        <v>4523.096332632731</v>
      </c>
      <c r="AD75" s="66"/>
      <c r="AE75" s="31">
        <f>SUM(P44:Q55)</f>
        <v>4369.2505280831747</v>
      </c>
      <c r="AF75" s="66"/>
      <c r="AG75" s="31">
        <f>SUM(P56:Q67)</f>
        <v>4212.456063350739</v>
      </c>
      <c r="AH75" s="66"/>
      <c r="AI75" s="31">
        <f>SUM(P68:Q79)</f>
        <v>4052.656423427426</v>
      </c>
      <c r="AJ75" s="66"/>
      <c r="AK75" s="31">
        <f>SUM(P80:Q91)</f>
        <v>3889.7940101196841</v>
      </c>
      <c r="AL75" s="66"/>
      <c r="AM75" s="31">
        <f>SUM(P92:Q103)</f>
        <v>3723.8101212877032</v>
      </c>
      <c r="AN75" s="66"/>
      <c r="AO75" s="31">
        <f>SUM(P104:Q115)</f>
        <v>3554.6449296868132</v>
      </c>
      <c r="AP75" s="66"/>
      <c r="AQ75" s="31">
        <f>SUM(P116:Q127)</f>
        <v>3382.2374614033492</v>
      </c>
      <c r="AR75" s="66"/>
      <c r="AS75" s="31">
        <f>SUM(P128:Q139)</f>
        <v>3206.525573877208</v>
      </c>
      <c r="AT75" s="66"/>
      <c r="AU75" s="31">
        <f>SUM(P140:Q151)</f>
        <v>3027.4459335031788</v>
      </c>
      <c r="AV75" s="66"/>
      <c r="AW75" s="31">
        <f>SUM(P152:Q163)</f>
        <v>2844.9339928029804</v>
      </c>
      <c r="AX75" s="66"/>
      <c r="AY75" s="31">
        <f>SUM(P164:Q175)</f>
        <v>2658.9239671597516</v>
      </c>
      <c r="AZ75" s="66"/>
      <c r="BA75" s="31">
        <f>SUM(P176:Q187)</f>
        <v>2469.3488111066508</v>
      </c>
      <c r="BB75" s="66"/>
      <c r="BC75" s="31">
        <f>SUM(P188:Q199)</f>
        <v>2276.1401941609774</v>
      </c>
      <c r="BD75" s="66"/>
      <c r="BE75" s="31">
        <f>SUM(P200:Q211)</f>
        <v>2079.2284761951296</v>
      </c>
      <c r="BF75" s="66"/>
      <c r="BG75" s="31">
        <f>SUM(P212:Q223)</f>
        <v>1878.5426823355092</v>
      </c>
      <c r="BH75" s="66"/>
      <c r="BI75" s="31">
        <f>SUM(P224:Q235)</f>
        <v>1674.0104773803362</v>
      </c>
      <c r="BJ75" s="66"/>
      <c r="BK75" s="31">
        <f>SUM(P236:Q247)</f>
        <v>1465.5581397271412</v>
      </c>
      <c r="BL75" s="66"/>
      <c r="BM75" s="31">
        <f>SUM(P248:Q259)</f>
        <v>1253.1105348005492</v>
      </c>
      <c r="BN75" s="66"/>
      <c r="BO75" s="31">
        <f>SUM(P260:Q271)</f>
        <v>1036.5910879707637</v>
      </c>
      <c r="BP75" s="66"/>
      <c r="BQ75" s="31">
        <f>SUM(P272:Q283)</f>
        <v>815.92175695300398</v>
      </c>
      <c r="BR75" s="66"/>
      <c r="BS75" s="31">
        <f>SUM(P284:Q295)</f>
        <v>591.02300367793828</v>
      </c>
      <c r="BT75" s="66"/>
      <c r="BU75" s="31">
        <f>SUM(P296:Q307)</f>
        <v>361.81376562297703</v>
      </c>
      <c r="BV75" s="66"/>
      <c r="BW75" s="31">
        <f>SUM(P308:Q319)</f>
        <v>128.21142659408963</v>
      </c>
      <c r="BX75" s="106"/>
      <c r="BY75" s="35">
        <v>0</v>
      </c>
      <c r="BZ75" s="36"/>
    </row>
    <row r="76" spans="1:78" x14ac:dyDescent="0.35">
      <c r="A76" s="355"/>
      <c r="B76" s="356"/>
      <c r="C76" s="360"/>
      <c r="D76" s="360"/>
      <c r="E76" s="366"/>
      <c r="F76" s="366"/>
      <c r="G76" s="293"/>
      <c r="H76" s="294"/>
      <c r="I76" s="338"/>
      <c r="J76" s="339"/>
      <c r="L76" s="235">
        <v>44896</v>
      </c>
      <c r="M76" s="236"/>
      <c r="N76" s="157">
        <f t="shared" si="0"/>
        <v>1045.8310820768397</v>
      </c>
      <c r="O76" s="158"/>
      <c r="P76" s="216">
        <f t="shared" si="1"/>
        <v>334.92570717524711</v>
      </c>
      <c r="Q76" s="158"/>
      <c r="R76" s="157">
        <f t="shared" si="2"/>
        <v>710.90537490159261</v>
      </c>
      <c r="S76" s="158"/>
      <c r="T76" s="216">
        <f t="shared" si="3"/>
        <v>210821.12020946501</v>
      </c>
      <c r="U76" s="217"/>
      <c r="W76" s="65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106"/>
      <c r="BY76" s="37"/>
      <c r="BZ76" s="38"/>
    </row>
    <row r="77" spans="1:78" x14ac:dyDescent="0.35">
      <c r="A77" s="355" t="s">
        <v>71</v>
      </c>
      <c r="B77" s="356"/>
      <c r="C77" s="361">
        <f>G57 * 0.595</f>
        <v>2975</v>
      </c>
      <c r="D77" s="361"/>
      <c r="E77" s="366">
        <f>(G59 * 0.337) + 1288</f>
        <v>5439.84</v>
      </c>
      <c r="F77" s="366"/>
      <c r="G77" s="293">
        <f>G61*0.401</f>
        <v>10025</v>
      </c>
      <c r="H77" s="294"/>
      <c r="I77" s="338"/>
      <c r="J77" s="339"/>
      <c r="L77" s="165">
        <v>44927</v>
      </c>
      <c r="M77" s="166"/>
      <c r="N77" s="157">
        <f t="shared" si="0"/>
        <v>1045.8310820768397</v>
      </c>
      <c r="O77" s="158"/>
      <c r="P77" s="216">
        <f t="shared" si="1"/>
        <v>333.80010699831956</v>
      </c>
      <c r="Q77" s="158"/>
      <c r="R77" s="157">
        <f t="shared" si="2"/>
        <v>712.03097507852021</v>
      </c>
      <c r="S77" s="158"/>
      <c r="T77" s="216">
        <f t="shared" si="3"/>
        <v>210109.08923438648</v>
      </c>
      <c r="U77" s="217"/>
      <c r="W77" s="223" t="s">
        <v>55</v>
      </c>
      <c r="X77" s="224"/>
      <c r="Y77" s="224"/>
      <c r="Z77" s="225"/>
      <c r="AA77" s="105">
        <f>SUM(G13+G15+G17+G19+G25+G53+G55+G63+(G45*12))</f>
        <v>17035</v>
      </c>
      <c r="AB77" s="66"/>
      <c r="AC77" s="90">
        <f>SUM(G13+G15+G17+G19+G25+G53+G55+G63+(G45*12))</f>
        <v>17035</v>
      </c>
      <c r="AD77" s="90"/>
      <c r="AE77" s="105">
        <f>SUM(G13+G15+G17+G19+G25+G53+G55+G63+(G45*12))</f>
        <v>17035</v>
      </c>
      <c r="AF77" s="66"/>
      <c r="AG77" s="105">
        <f>SUM(G13+G15+G17+G19+G25+G53+G55+G63+(G45*12))</f>
        <v>17035</v>
      </c>
      <c r="AH77" s="66"/>
      <c r="AI77" s="90">
        <f>SUM(G13+G15+G17+G19+G25+G53+G55+G63+(G45*12))</f>
        <v>17035</v>
      </c>
      <c r="AJ77" s="90"/>
      <c r="AK77" s="105">
        <f>SUM(G13+G15+G17+G19+G25+G53+G55+G63+(G45*12))</f>
        <v>17035</v>
      </c>
      <c r="AL77" s="66"/>
      <c r="AM77" s="105">
        <f>SUM(G13+G15+G17+G19+G25+G53+G55+G63+(G45*12))</f>
        <v>17035</v>
      </c>
      <c r="AN77" s="66"/>
      <c r="AO77" s="105">
        <f>SUM(G13+G15+G17+G19+G25+G53+G55+G63+(G45*12))</f>
        <v>17035</v>
      </c>
      <c r="AP77" s="66"/>
      <c r="AQ77" s="90">
        <f>SUM(G13+G15+G17+G19+G25+G53+G55+G63+(G45*12))</f>
        <v>17035</v>
      </c>
      <c r="AR77" s="90"/>
      <c r="AS77" s="105">
        <f>SUM(G13+G15+G17+G19+G25+G53+G55+G63+(G45*12))</f>
        <v>17035</v>
      </c>
      <c r="AT77" s="66"/>
      <c r="AU77" s="105">
        <f>SUM(G13+G15+G17+G19+G25+G53+G55+G63+(G45*12))</f>
        <v>17035</v>
      </c>
      <c r="AV77" s="66"/>
      <c r="AW77" s="105">
        <f>SUM(G13+G15+G17+G19+G25+G53+G55+G63+(G45*12))</f>
        <v>17035</v>
      </c>
      <c r="AX77" s="66"/>
      <c r="AY77" s="105">
        <f>SUM(G13+G15+G17+G19+G25+G53+G55+G63+(G45*12))</f>
        <v>17035</v>
      </c>
      <c r="AZ77" s="66"/>
      <c r="BA77" s="105">
        <f>SUM(G13+G15+G17+G19+G25+G53+G55+G63+(G45*12))</f>
        <v>17035</v>
      </c>
      <c r="BB77" s="66"/>
      <c r="BC77" s="105">
        <f>SUM(G13+G15+G17+G19+G25+G53+G55+G63+(G45*12))</f>
        <v>17035</v>
      </c>
      <c r="BD77" s="66"/>
      <c r="BE77" s="105">
        <f>SUM(G13+G15+G17+G19+G25+G53+G55+G63+(G45*12))</f>
        <v>17035</v>
      </c>
      <c r="BF77" s="66"/>
      <c r="BG77" s="105">
        <f>SUM(G13+G15+G17+G19+G25+G53+G55+G63+(G45*12))</f>
        <v>17035</v>
      </c>
      <c r="BH77" s="66"/>
      <c r="BI77" s="105">
        <f>SUM(G13+G15+G17+G19+G25+G53+G55+G63+(G45*12))</f>
        <v>17035</v>
      </c>
      <c r="BJ77" s="66"/>
      <c r="BK77" s="105">
        <f>SUM(G13+G15+G17+G19+G25+G53+G55+G63+(G45*12))</f>
        <v>17035</v>
      </c>
      <c r="BL77" s="66"/>
      <c r="BM77" s="105">
        <f>SUM(G13+G15+G17+G19+G25+G53+G55+G63+(G45*12))</f>
        <v>17035</v>
      </c>
      <c r="BN77" s="66"/>
      <c r="BO77" s="105">
        <f>SUM(G13+G15+G17+G19+G25+G53+G55+G63+(G45*12))</f>
        <v>17035</v>
      </c>
      <c r="BP77" s="66"/>
      <c r="BQ77" s="105">
        <f>SUM(G13+G15+G17+G19+G25+G53+G55+G63+(G45*12))</f>
        <v>17035</v>
      </c>
      <c r="BR77" s="66"/>
      <c r="BS77" s="90">
        <f>SUM(G13+G15+G17+G19+G25+G53+G55+G63+(G45*12))</f>
        <v>17035</v>
      </c>
      <c r="BT77" s="90"/>
      <c r="BU77" s="90">
        <f>SUM(G13+G15+G17+G19+G25+G53+G55+G63+(G45*12))</f>
        <v>17035</v>
      </c>
      <c r="BV77" s="90"/>
      <c r="BW77" s="90">
        <f>SUM(G13+G15+G17+G19+G25+G53+G55+G63+(G45*12))</f>
        <v>17035</v>
      </c>
      <c r="BX77" s="90"/>
      <c r="BY77" s="90">
        <f>SUM(G13+G15+G17+G19+G25+G53+G55+G63+(G45*12))</f>
        <v>17035</v>
      </c>
      <c r="BZ77" s="91"/>
    </row>
    <row r="78" spans="1:78" ht="16" thickBot="1" x14ac:dyDescent="0.4">
      <c r="A78" s="357"/>
      <c r="B78" s="358"/>
      <c r="C78" s="362"/>
      <c r="D78" s="362"/>
      <c r="E78" s="367"/>
      <c r="F78" s="367"/>
      <c r="G78" s="295"/>
      <c r="H78" s="296"/>
      <c r="I78" s="340"/>
      <c r="J78" s="341"/>
      <c r="L78" s="235">
        <v>44958</v>
      </c>
      <c r="M78" s="236"/>
      <c r="N78" s="157">
        <f t="shared" si="0"/>
        <v>1045.8310820768397</v>
      </c>
      <c r="O78" s="158"/>
      <c r="P78" s="216">
        <f t="shared" si="1"/>
        <v>332.67272462111191</v>
      </c>
      <c r="Q78" s="158"/>
      <c r="R78" s="157">
        <f t="shared" si="2"/>
        <v>713.15835745572781</v>
      </c>
      <c r="S78" s="158"/>
      <c r="T78" s="216">
        <f t="shared" si="3"/>
        <v>209395.93087693077</v>
      </c>
      <c r="U78" s="217"/>
      <c r="W78" s="226"/>
      <c r="X78" s="227"/>
      <c r="Y78" s="227"/>
      <c r="Z78" s="228"/>
      <c r="AA78" s="66"/>
      <c r="AB78" s="66"/>
      <c r="AC78" s="87"/>
      <c r="AD78" s="87"/>
      <c r="AE78" s="66"/>
      <c r="AF78" s="66"/>
      <c r="AG78" s="66"/>
      <c r="AH78" s="66"/>
      <c r="AI78" s="87"/>
      <c r="AJ78" s="87"/>
      <c r="AK78" s="66"/>
      <c r="AL78" s="66"/>
      <c r="AM78" s="66"/>
      <c r="AN78" s="66"/>
      <c r="AO78" s="66"/>
      <c r="AP78" s="66"/>
      <c r="AQ78" s="87"/>
      <c r="AR78" s="87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87"/>
      <c r="BT78" s="87"/>
      <c r="BU78" s="87"/>
      <c r="BV78" s="87"/>
      <c r="BW78" s="87"/>
      <c r="BX78" s="87"/>
      <c r="BY78" s="87"/>
      <c r="BZ78" s="92"/>
    </row>
    <row r="79" spans="1:78" ht="16" thickTop="1" x14ac:dyDescent="0.35">
      <c r="L79" s="165">
        <v>44986</v>
      </c>
      <c r="M79" s="166"/>
      <c r="N79" s="157">
        <f t="shared" si="0"/>
        <v>1045.8310820768397</v>
      </c>
      <c r="O79" s="158"/>
      <c r="P79" s="216">
        <f t="shared" si="1"/>
        <v>331.54355722180702</v>
      </c>
      <c r="Q79" s="158"/>
      <c r="R79" s="157">
        <f t="shared" si="2"/>
        <v>714.28752485503264</v>
      </c>
      <c r="S79" s="158"/>
      <c r="T79" s="216">
        <f t="shared" si="3"/>
        <v>208681.64335207574</v>
      </c>
      <c r="U79" s="217"/>
      <c r="W79" s="229" t="s">
        <v>56</v>
      </c>
      <c r="X79" s="230"/>
      <c r="Y79" s="230"/>
      <c r="Z79" s="231"/>
      <c r="AA79" s="26">
        <f>AA83</f>
        <v>6290.9510708078888</v>
      </c>
      <c r="AB79" s="23"/>
      <c r="AC79" s="27">
        <f>AC83</f>
        <v>6441.9036673672672</v>
      </c>
      <c r="AD79" s="23"/>
      <c r="AE79" s="27">
        <f>AE83</f>
        <v>6595.7494719168244</v>
      </c>
      <c r="AF79" s="23"/>
      <c r="AG79" s="27">
        <f>AG83</f>
        <v>6752.5439366492647</v>
      </c>
      <c r="AH79" s="23"/>
      <c r="AI79" s="26">
        <f>AI83</f>
        <v>6912.3435765725735</v>
      </c>
      <c r="AJ79" s="28"/>
      <c r="AK79" s="26">
        <f>AK83</f>
        <v>18366.157060688201</v>
      </c>
      <c r="AL79" s="28"/>
      <c r="AM79" s="26">
        <f>AM83</f>
        <v>18683.093546079566</v>
      </c>
      <c r="AN79" s="23"/>
      <c r="AO79" s="27">
        <f>AO83</f>
        <v>19006.104542230012</v>
      </c>
      <c r="AP79" s="23"/>
      <c r="AQ79" s="27">
        <f>AQ83</f>
        <v>19335.306475245918</v>
      </c>
      <c r="AR79" s="23"/>
      <c r="AS79" s="27">
        <f>AS83</f>
        <v>19670.818002695363</v>
      </c>
      <c r="AT79" s="23"/>
      <c r="AU79" s="22">
        <f>AU83</f>
        <v>43303.711127185023</v>
      </c>
      <c r="AV79" s="23"/>
      <c r="AW79" s="22">
        <f>AW83</f>
        <v>43803.159553276586</v>
      </c>
      <c r="AX79" s="23"/>
      <c r="AY79" s="26">
        <f>AY83</f>
        <v>44312.180575070262</v>
      </c>
      <c r="AZ79" s="23"/>
      <c r="BA79" s="27">
        <f>BA83</f>
        <v>44830.957664139263</v>
      </c>
      <c r="BB79" s="23"/>
      <c r="BC79" s="27">
        <f>BC83</f>
        <v>45359.677808534383</v>
      </c>
      <c r="BD79" s="23"/>
      <c r="BE79" s="7" t="s">
        <v>57</v>
      </c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9"/>
    </row>
    <row r="80" spans="1:78" ht="16" thickBot="1" x14ac:dyDescent="0.4">
      <c r="L80" s="235">
        <v>45017</v>
      </c>
      <c r="M80" s="236"/>
      <c r="N80" s="157">
        <f t="shared" si="0"/>
        <v>1045.8310820768397</v>
      </c>
      <c r="O80" s="158"/>
      <c r="P80" s="216">
        <f t="shared" si="1"/>
        <v>330.41260197411992</v>
      </c>
      <c r="Q80" s="158"/>
      <c r="R80" s="157">
        <f t="shared" si="2"/>
        <v>715.41848010271974</v>
      </c>
      <c r="S80" s="158"/>
      <c r="T80" s="216">
        <f t="shared" si="3"/>
        <v>207966.22487197301</v>
      </c>
      <c r="U80" s="217"/>
      <c r="W80" s="232"/>
      <c r="X80" s="233"/>
      <c r="Y80" s="233"/>
      <c r="Z80" s="234"/>
      <c r="AA80" s="24"/>
      <c r="AB80" s="25"/>
      <c r="AC80" s="24"/>
      <c r="AD80" s="25"/>
      <c r="AE80" s="24"/>
      <c r="AF80" s="25"/>
      <c r="AG80" s="24"/>
      <c r="AH80" s="25"/>
      <c r="AI80" s="29"/>
      <c r="AJ80" s="30"/>
      <c r="AK80" s="29"/>
      <c r="AL80" s="30"/>
      <c r="AM80" s="24"/>
      <c r="AN80" s="25"/>
      <c r="AO80" s="24"/>
      <c r="AP80" s="25"/>
      <c r="AQ80" s="24"/>
      <c r="AR80" s="25"/>
      <c r="AS80" s="24"/>
      <c r="AT80" s="25"/>
      <c r="AU80" s="24"/>
      <c r="AV80" s="25"/>
      <c r="AW80" s="24"/>
      <c r="AX80" s="25"/>
      <c r="AY80" s="24"/>
      <c r="AZ80" s="25"/>
      <c r="BA80" s="24"/>
      <c r="BB80" s="25"/>
      <c r="BC80" s="24"/>
      <c r="BD80" s="25"/>
      <c r="BE80" s="10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2"/>
    </row>
    <row r="81" spans="12:78" ht="16" thickTop="1" x14ac:dyDescent="0.35">
      <c r="L81" s="165">
        <v>45047</v>
      </c>
      <c r="M81" s="166"/>
      <c r="N81" s="157">
        <f t="shared" si="0"/>
        <v>1045.8310820768397</v>
      </c>
      <c r="O81" s="158"/>
      <c r="P81" s="216">
        <f t="shared" si="1"/>
        <v>329.27985604729059</v>
      </c>
      <c r="Q81" s="158"/>
      <c r="R81" s="157">
        <f t="shared" si="2"/>
        <v>716.55122602954907</v>
      </c>
      <c r="S81" s="158"/>
      <c r="T81" s="216">
        <f t="shared" si="3"/>
        <v>207249.67364594346</v>
      </c>
      <c r="U81" s="217"/>
      <c r="W81" s="93" t="s">
        <v>60</v>
      </c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5"/>
      <c r="BY81" s="99"/>
      <c r="BZ81" s="100"/>
    </row>
    <row r="82" spans="12:78" ht="16" thickBot="1" x14ac:dyDescent="0.4">
      <c r="L82" s="235">
        <v>45078</v>
      </c>
      <c r="M82" s="236"/>
      <c r="N82" s="157">
        <f t="shared" si="0"/>
        <v>1045.8310820768397</v>
      </c>
      <c r="O82" s="158"/>
      <c r="P82" s="216">
        <f t="shared" si="1"/>
        <v>328.14531660607713</v>
      </c>
      <c r="Q82" s="158"/>
      <c r="R82" s="157">
        <f t="shared" si="2"/>
        <v>717.68576547076259</v>
      </c>
      <c r="S82" s="158"/>
      <c r="T82" s="216">
        <f t="shared" si="3"/>
        <v>206531.98788047271</v>
      </c>
      <c r="U82" s="217"/>
      <c r="W82" s="96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  <c r="BH82" s="97"/>
      <c r="BI82" s="97"/>
      <c r="BJ82" s="97"/>
      <c r="BK82" s="97"/>
      <c r="BL82" s="97"/>
      <c r="BM82" s="97"/>
      <c r="BN82" s="97"/>
      <c r="BO82" s="97"/>
      <c r="BP82" s="97"/>
      <c r="BQ82" s="97"/>
      <c r="BR82" s="97"/>
      <c r="BS82" s="97"/>
      <c r="BT82" s="97"/>
      <c r="BU82" s="97"/>
      <c r="BV82" s="97"/>
      <c r="BW82" s="97"/>
      <c r="BX82" s="98"/>
      <c r="BY82" s="101"/>
      <c r="BZ82" s="102"/>
    </row>
    <row r="83" spans="12:78" ht="16" thickTop="1" x14ac:dyDescent="0.35">
      <c r="L83" s="165">
        <v>45108</v>
      </c>
      <c r="M83" s="166"/>
      <c r="N83" s="157">
        <f t="shared" si="0"/>
        <v>1045.8310820768397</v>
      </c>
      <c r="O83" s="158"/>
      <c r="P83" s="216">
        <f t="shared" si="1"/>
        <v>327.00898081074843</v>
      </c>
      <c r="Q83" s="158"/>
      <c r="R83" s="157">
        <f t="shared" si="2"/>
        <v>718.82210126609129</v>
      </c>
      <c r="S83" s="158"/>
      <c r="T83" s="216">
        <f t="shared" si="3"/>
        <v>205813.16577920661</v>
      </c>
      <c r="U83" s="217"/>
      <c r="W83" s="103" t="s">
        <v>46</v>
      </c>
      <c r="X83" s="88"/>
      <c r="Y83" s="88"/>
      <c r="Z83" s="88"/>
      <c r="AA83" s="89">
        <f>AA69-(AA71+AA75+AA77+AA73)</f>
        <v>6290.9510708078888</v>
      </c>
      <c r="AB83" s="88"/>
      <c r="AC83" s="70">
        <f>AC69-(AC71+AC75+AC77+AC73)</f>
        <v>6441.9036673672672</v>
      </c>
      <c r="AD83" s="88"/>
      <c r="AE83" s="70">
        <f>AE69-(AE71+AE75+AE77+AE73)</f>
        <v>6595.7494719168244</v>
      </c>
      <c r="AF83" s="88"/>
      <c r="AG83" s="70">
        <f>AG69-(AG71+AG75+AG77+AG73)</f>
        <v>6752.5439366492647</v>
      </c>
      <c r="AH83" s="88"/>
      <c r="AI83" s="89">
        <f>AI69-(AI71+AI75+AI77+AI73)</f>
        <v>6912.3435765725735</v>
      </c>
      <c r="AJ83" s="89"/>
      <c r="AK83" s="89">
        <f>(AK69-(AK71+AK75+AK77+AK73))+AA79</f>
        <v>18366.157060688201</v>
      </c>
      <c r="AL83" s="89"/>
      <c r="AM83" s="89">
        <f>(AM69-(AM71+AM75+AM77+AM73))+AC79</f>
        <v>18683.093546079566</v>
      </c>
      <c r="AN83" s="88"/>
      <c r="AO83" s="70">
        <f>(AO69-(AO71+AO75+AO77+AO73))+AE79</f>
        <v>19006.104542230012</v>
      </c>
      <c r="AP83" s="88"/>
      <c r="AQ83" s="70">
        <f>(AQ69-(AQ71+AQ75+AQ77+AQ73))+AG79</f>
        <v>19335.306475245918</v>
      </c>
      <c r="AR83" s="88"/>
      <c r="AS83" s="70">
        <f>(AS69-(AS71+AS75+AS77+AS73))+AI79</f>
        <v>19670.818002695363</v>
      </c>
      <c r="AT83" s="88"/>
      <c r="AU83" s="87">
        <f>(AU69-(AU71+AU75+AU77+AU73))+AK83</f>
        <v>43303.711127185023</v>
      </c>
      <c r="AV83" s="88"/>
      <c r="AW83" s="87">
        <f>(AW69-(AW71+AW75+AW77+AW73))+AM83</f>
        <v>43803.159553276586</v>
      </c>
      <c r="AX83" s="88"/>
      <c r="AY83" s="89">
        <f>(AY69-(AY71+AY75+AY77+AY73))+AO83</f>
        <v>44312.180575070262</v>
      </c>
      <c r="AZ83" s="88"/>
      <c r="BA83" s="70">
        <f>(BA69-(BA71+BA75+BA77+BA73))+AQ83</f>
        <v>44830.957664139263</v>
      </c>
      <c r="BB83" s="88"/>
      <c r="BC83" s="70">
        <f>(BC69-(BC71+BC75+BC77+BC73))+AS83</f>
        <v>45359.677808534383</v>
      </c>
      <c r="BD83" s="88"/>
      <c r="BE83" s="70">
        <f>BE69-(BE71+BE75+BE77+BE73)</f>
        <v>25885.77152380487</v>
      </c>
      <c r="BF83" s="88"/>
      <c r="BG83" s="87">
        <f>BG69-(BG71+BG75+BG77+BG73)</f>
        <v>26086.457317664492</v>
      </c>
      <c r="BH83" s="88"/>
      <c r="BI83" s="87">
        <f>BI69-(BI71+BI75+BI77+BI73)</f>
        <v>26290.989522619664</v>
      </c>
      <c r="BJ83" s="88"/>
      <c r="BK83" s="89">
        <f>BK69-(BK71+BK75+BK77+BK73)</f>
        <v>26499.441860272858</v>
      </c>
      <c r="BL83" s="88"/>
      <c r="BM83" s="70">
        <f>BM69-(BM71+BM75+BM77+BM73)</f>
        <v>26711.889465199452</v>
      </c>
      <c r="BN83" s="88"/>
      <c r="BO83" s="70">
        <f>BO69-(BO71+BO75+BO77+BO73)</f>
        <v>26928.408912029237</v>
      </c>
      <c r="BP83" s="88"/>
      <c r="BQ83" s="70">
        <f>BQ69-(BQ71+BQ75+BQ77+BQ73)</f>
        <v>27149.078243046995</v>
      </c>
      <c r="BR83" s="88"/>
      <c r="BS83" s="87">
        <f>BS69-(BS71+BS75+BS77+BS73)</f>
        <v>27373.976996322061</v>
      </c>
      <c r="BT83" s="88"/>
      <c r="BU83" s="87">
        <f>BU69-(BU71+BU75+BU77+BU73)</f>
        <v>27603.186234377023</v>
      </c>
      <c r="BV83" s="88"/>
      <c r="BW83" s="89">
        <f>BW69-(BW71+BW75+BW77+BW73)</f>
        <v>27836.788573405909</v>
      </c>
      <c r="BX83" s="88"/>
      <c r="BY83" s="70">
        <f>BY69-(BY71+BY75+BY77+BY73)</f>
        <v>27965</v>
      </c>
      <c r="BZ83" s="85"/>
    </row>
    <row r="84" spans="12:78" x14ac:dyDescent="0.35">
      <c r="L84" s="235">
        <v>45139</v>
      </c>
      <c r="M84" s="236"/>
      <c r="N84" s="157">
        <f t="shared" ref="N84:N147" si="167">$R$15</f>
        <v>1045.8310820768397</v>
      </c>
      <c r="O84" s="158"/>
      <c r="P84" s="216">
        <f t="shared" ref="P84:P147" si="168">($R$5/$R$7)*T83</f>
        <v>325.87084581707711</v>
      </c>
      <c r="Q84" s="158"/>
      <c r="R84" s="157">
        <f t="shared" si="2"/>
        <v>719.96023625976261</v>
      </c>
      <c r="S84" s="158"/>
      <c r="T84" s="216">
        <f t="shared" si="3"/>
        <v>205093.20554294685</v>
      </c>
      <c r="U84" s="217"/>
      <c r="W84" s="65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104"/>
      <c r="AJ84" s="104"/>
      <c r="AK84" s="104"/>
      <c r="AL84" s="104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86"/>
    </row>
    <row r="85" spans="12:78" x14ac:dyDescent="0.35">
      <c r="L85" s="165">
        <v>45170</v>
      </c>
      <c r="M85" s="166"/>
      <c r="N85" s="157">
        <f t="shared" si="167"/>
        <v>1045.8310820768397</v>
      </c>
      <c r="O85" s="158"/>
      <c r="P85" s="216">
        <f t="shared" si="168"/>
        <v>324.73090877633251</v>
      </c>
      <c r="Q85" s="158"/>
      <c r="R85" s="157">
        <f t="shared" ref="R85:R148" si="169">N85-P85</f>
        <v>721.10017330050721</v>
      </c>
      <c r="S85" s="158"/>
      <c r="T85" s="216">
        <f t="shared" ref="T85:T148" si="170">T84-R85</f>
        <v>204372.10536964634</v>
      </c>
      <c r="U85" s="217"/>
      <c r="W85" s="65" t="s">
        <v>23</v>
      </c>
      <c r="X85" s="66"/>
      <c r="Y85" s="66"/>
      <c r="Z85" s="66"/>
      <c r="AA85" s="31">
        <f>(AA83*0.312)/12</f>
        <v>163.56472784100512</v>
      </c>
      <c r="AB85" s="31"/>
      <c r="AC85" s="31">
        <f t="shared" ref="AC85" si="171">(AC83*0.312)/12</f>
        <v>167.48949535154895</v>
      </c>
      <c r="AD85" s="31"/>
      <c r="AE85" s="31">
        <f t="shared" ref="AE85" si="172">(AE83*0.312)/12</f>
        <v>171.48948626983744</v>
      </c>
      <c r="AF85" s="31"/>
      <c r="AG85" s="31">
        <f t="shared" ref="AG85" si="173">(AG83*0.312)/12</f>
        <v>175.56614235288089</v>
      </c>
      <c r="AH85" s="31"/>
      <c r="AI85" s="31">
        <f t="shared" ref="AI85" si="174">(AI83*0.312)/12</f>
        <v>179.72093299088692</v>
      </c>
      <c r="AJ85" s="31"/>
      <c r="AK85" s="31">
        <f t="shared" ref="AK85" si="175">(AK83*0.312)/12</f>
        <v>477.52008357789327</v>
      </c>
      <c r="AL85" s="31"/>
      <c r="AM85" s="31">
        <f t="shared" ref="AM85" si="176">(AM83*0.312)/12</f>
        <v>485.76043219806871</v>
      </c>
      <c r="AN85" s="31"/>
      <c r="AO85" s="31">
        <f t="shared" ref="AO85" si="177">(AO83*0.312)/12</f>
        <v>494.15871809798028</v>
      </c>
      <c r="AP85" s="31"/>
      <c r="AQ85" s="31">
        <f t="shared" ref="AQ85" si="178">(AQ83*0.312)/12</f>
        <v>502.71796835639384</v>
      </c>
      <c r="AR85" s="31"/>
      <c r="AS85" s="31">
        <f t="shared" ref="AS85" si="179">(AS83*0.312)/12</f>
        <v>511.44126807007939</v>
      </c>
      <c r="AT85" s="31"/>
      <c r="AU85" s="31">
        <f t="shared" ref="AU85" si="180">(AU83*0.312)/12</f>
        <v>1125.8964893068107</v>
      </c>
      <c r="AV85" s="31"/>
      <c r="AW85" s="31">
        <f t="shared" ref="AW85" si="181">(AW83*0.312)/12</f>
        <v>1138.8821483851912</v>
      </c>
      <c r="AX85" s="31"/>
      <c r="AY85" s="31">
        <f t="shared" ref="AY85" si="182">(AY83*0.312)/12</f>
        <v>1152.1166949518267</v>
      </c>
      <c r="AZ85" s="31"/>
      <c r="BA85" s="31">
        <f t="shared" ref="BA85" si="183">(BA83*0.312)/12</f>
        <v>1165.6048992676208</v>
      </c>
      <c r="BB85" s="31"/>
      <c r="BC85" s="31">
        <f t="shared" ref="BC85" si="184">(BC83*0.312)/12</f>
        <v>1179.3516230218941</v>
      </c>
      <c r="BD85" s="31"/>
      <c r="BE85" s="31">
        <f t="shared" ref="BE85" si="185">(BE83*0.312)/12</f>
        <v>673.03005961892666</v>
      </c>
      <c r="BF85" s="31"/>
      <c r="BG85" s="31">
        <f t="shared" ref="BG85" si="186">(BG83*0.312)/12</f>
        <v>678.2478902592768</v>
      </c>
      <c r="BH85" s="31"/>
      <c r="BI85" s="31">
        <f t="shared" ref="BI85" si="187">(BI83*0.312)/12</f>
        <v>683.56572758811126</v>
      </c>
      <c r="BJ85" s="31"/>
      <c r="BK85" s="31">
        <f t="shared" ref="BK85" si="188">(BK83*0.312)/12</f>
        <v>688.98548836709426</v>
      </c>
      <c r="BL85" s="31"/>
      <c r="BM85" s="31">
        <f t="shared" ref="BM85" si="189">(BM83*0.312)/12</f>
        <v>694.50912609518582</v>
      </c>
      <c r="BN85" s="31"/>
      <c r="BO85" s="31">
        <f t="shared" ref="BO85" si="190">(BO83*0.312)/12</f>
        <v>700.13863171276023</v>
      </c>
      <c r="BP85" s="31"/>
      <c r="BQ85" s="31">
        <f t="shared" ref="BQ85" si="191">(BQ83*0.312)/12</f>
        <v>705.87603431922196</v>
      </c>
      <c r="BR85" s="31"/>
      <c r="BS85" s="31">
        <f t="shared" ref="BS85" si="192">(BS83*0.312)/12</f>
        <v>711.72340190437353</v>
      </c>
      <c r="BT85" s="31"/>
      <c r="BU85" s="31">
        <f t="shared" ref="BU85" si="193">(BU83*0.312)/12</f>
        <v>717.68284209380261</v>
      </c>
      <c r="BV85" s="31"/>
      <c r="BW85" s="31">
        <f t="shared" ref="BW85" si="194">(BW83*0.312)/12</f>
        <v>723.75650290855367</v>
      </c>
      <c r="BX85" s="72"/>
      <c r="BY85" s="31">
        <f t="shared" ref="BY85" si="195">(BY83*0.312)/12</f>
        <v>727.09</v>
      </c>
      <c r="BZ85" s="33"/>
    </row>
    <row r="86" spans="12:78" x14ac:dyDescent="0.35">
      <c r="L86" s="235">
        <v>45200</v>
      </c>
      <c r="M86" s="236"/>
      <c r="N86" s="157">
        <f t="shared" si="167"/>
        <v>1045.8310820768397</v>
      </c>
      <c r="O86" s="158"/>
      <c r="P86" s="216">
        <f t="shared" si="168"/>
        <v>323.58916683527337</v>
      </c>
      <c r="Q86" s="158"/>
      <c r="R86" s="157">
        <f t="shared" si="169"/>
        <v>722.2419152415664</v>
      </c>
      <c r="S86" s="158"/>
      <c r="T86" s="216">
        <f t="shared" si="170"/>
        <v>203649.86345440478</v>
      </c>
      <c r="U86" s="217"/>
      <c r="W86" s="65"/>
      <c r="X86" s="66"/>
      <c r="Y86" s="66"/>
      <c r="Z86" s="66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72"/>
      <c r="BY86" s="31"/>
      <c r="BZ86" s="33"/>
    </row>
    <row r="87" spans="12:78" x14ac:dyDescent="0.35">
      <c r="L87" s="165">
        <v>45231</v>
      </c>
      <c r="M87" s="166"/>
      <c r="N87" s="157">
        <f t="shared" si="167"/>
        <v>1045.8310820768397</v>
      </c>
      <c r="O87" s="158"/>
      <c r="P87" s="216">
        <f t="shared" si="168"/>
        <v>322.44561713614092</v>
      </c>
      <c r="Q87" s="158"/>
      <c r="R87" s="157">
        <f t="shared" si="169"/>
        <v>723.38546494069874</v>
      </c>
      <c r="S87" s="158"/>
      <c r="T87" s="216">
        <f t="shared" si="170"/>
        <v>202926.4779894641</v>
      </c>
      <c r="U87" s="217"/>
      <c r="W87" s="65" t="s">
        <v>24</v>
      </c>
      <c r="X87" s="66"/>
      <c r="Y87" s="66"/>
      <c r="Z87" s="66"/>
      <c r="AA87" s="31">
        <f>(AA83*0.472)/12</f>
        <v>247.44407545177694</v>
      </c>
      <c r="AB87" s="31"/>
      <c r="AC87" s="31">
        <f t="shared" ref="AC87" si="196">(AC83*0.472)/12</f>
        <v>253.38154424977915</v>
      </c>
      <c r="AD87" s="31"/>
      <c r="AE87" s="31">
        <f t="shared" ref="AE87" si="197">(AE83*0.472)/12</f>
        <v>259.43281256206177</v>
      </c>
      <c r="AF87" s="31"/>
      <c r="AG87" s="31">
        <f t="shared" ref="AG87" si="198">(AG83*0.472)/12</f>
        <v>265.60006150820442</v>
      </c>
      <c r="AH87" s="31"/>
      <c r="AI87" s="31">
        <f t="shared" ref="AI87" si="199">(AI83*0.472)/12</f>
        <v>271.88551401185453</v>
      </c>
      <c r="AJ87" s="31"/>
      <c r="AK87" s="31">
        <f t="shared" ref="AK87" si="200">(AK83*0.472)/12</f>
        <v>722.40217772040251</v>
      </c>
      <c r="AL87" s="31"/>
      <c r="AM87" s="31">
        <f t="shared" ref="AM87" si="201">(AM83*0.472)/12</f>
        <v>734.86834614579629</v>
      </c>
      <c r="AN87" s="31"/>
      <c r="AO87" s="31">
        <f t="shared" ref="AO87" si="202">(AO83*0.472)/12</f>
        <v>747.57344532771378</v>
      </c>
      <c r="AP87" s="31"/>
      <c r="AQ87" s="31">
        <f t="shared" ref="AQ87" si="203">(AQ83*0.472)/12</f>
        <v>760.522054693006</v>
      </c>
      <c r="AR87" s="31"/>
      <c r="AS87" s="31">
        <f t="shared" ref="AS87" si="204">(AS83*0.472)/12</f>
        <v>773.71884143935085</v>
      </c>
      <c r="AT87" s="31"/>
      <c r="AU87" s="31">
        <f t="shared" ref="AU87" si="205">(AU83*0.472)/12</f>
        <v>1703.2793043359441</v>
      </c>
      <c r="AV87" s="31"/>
      <c r="AW87" s="31">
        <f t="shared" ref="AW87" si="206">(AW83*0.472)/12</f>
        <v>1722.9242757622123</v>
      </c>
      <c r="AX87" s="31"/>
      <c r="AY87" s="31">
        <f t="shared" ref="AY87" si="207">(AY83*0.472)/12</f>
        <v>1742.9457692860969</v>
      </c>
      <c r="AZ87" s="31"/>
      <c r="BA87" s="31">
        <f t="shared" ref="BA87" si="208">(BA83*0.472)/12</f>
        <v>1763.3510014561443</v>
      </c>
      <c r="BB87" s="31"/>
      <c r="BC87" s="31">
        <f t="shared" ref="BC87" si="209">(BC83*0.472)/12</f>
        <v>1784.1473271356856</v>
      </c>
      <c r="BD87" s="31"/>
      <c r="BE87" s="31">
        <f t="shared" ref="BE87" si="210">(BE83*0.472)/12</f>
        <v>1018.1736799363248</v>
      </c>
      <c r="BF87" s="31"/>
      <c r="BG87" s="31">
        <f t="shared" ref="BG87" si="211">(BG83*0.472)/12</f>
        <v>1026.0673211614701</v>
      </c>
      <c r="BH87" s="31"/>
      <c r="BI87" s="31">
        <f t="shared" ref="BI87" si="212">(BI83*0.472)/12</f>
        <v>1034.1122545563733</v>
      </c>
      <c r="BJ87" s="31"/>
      <c r="BK87" s="31">
        <f t="shared" ref="BK87" si="213">(BK83*0.472)/12</f>
        <v>1042.311379837399</v>
      </c>
      <c r="BL87" s="31"/>
      <c r="BM87" s="31">
        <f t="shared" ref="BM87" si="214">(BM83*0.472)/12</f>
        <v>1050.6676522978451</v>
      </c>
      <c r="BN87" s="31"/>
      <c r="BO87" s="31">
        <f t="shared" ref="BO87" si="215">(BO83*0.472)/12</f>
        <v>1059.1840838731498</v>
      </c>
      <c r="BP87" s="31"/>
      <c r="BQ87" s="31">
        <f t="shared" ref="BQ87" si="216">(BQ83*0.472)/12</f>
        <v>1067.8637442265151</v>
      </c>
      <c r="BR87" s="31"/>
      <c r="BS87" s="31">
        <f t="shared" ref="BS87" si="217">(BS83*0.472)/12</f>
        <v>1076.7097618553344</v>
      </c>
      <c r="BT87" s="31"/>
      <c r="BU87" s="31">
        <f t="shared" ref="BU87" si="218">(BU83*0.472)/12</f>
        <v>1085.7253252188295</v>
      </c>
      <c r="BV87" s="31"/>
      <c r="BW87" s="31">
        <f t="shared" ref="BW87" si="219">(BW83*0.472)/12</f>
        <v>1094.9136838872989</v>
      </c>
      <c r="BX87" s="72"/>
      <c r="BY87" s="31">
        <f t="shared" ref="BY87" si="220">(BY83*0.472)/12</f>
        <v>1099.9566666666667</v>
      </c>
      <c r="BZ87" s="33"/>
    </row>
    <row r="88" spans="12:78" x14ac:dyDescent="0.35">
      <c r="L88" s="235">
        <v>45261</v>
      </c>
      <c r="M88" s="236"/>
      <c r="N88" s="157">
        <f t="shared" si="167"/>
        <v>1045.8310820768397</v>
      </c>
      <c r="O88" s="158"/>
      <c r="P88" s="216">
        <f t="shared" si="168"/>
        <v>321.30025681665148</v>
      </c>
      <c r="Q88" s="158"/>
      <c r="R88" s="157">
        <f t="shared" si="169"/>
        <v>724.53082526018829</v>
      </c>
      <c r="S88" s="158"/>
      <c r="T88" s="216">
        <f t="shared" si="170"/>
        <v>202201.94716420391</v>
      </c>
      <c r="U88" s="217"/>
      <c r="W88" s="65"/>
      <c r="X88" s="66"/>
      <c r="Y88" s="66"/>
      <c r="Z88" s="66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72"/>
      <c r="BY88" s="31"/>
      <c r="BZ88" s="33"/>
    </row>
    <row r="89" spans="12:78" x14ac:dyDescent="0.35">
      <c r="L89" s="165">
        <v>45292</v>
      </c>
      <c r="M89" s="166"/>
      <c r="N89" s="157">
        <f t="shared" si="167"/>
        <v>1045.8310820768397</v>
      </c>
      <c r="O89" s="158"/>
      <c r="P89" s="216">
        <f t="shared" si="168"/>
        <v>320.15308300998953</v>
      </c>
      <c r="Q89" s="158"/>
      <c r="R89" s="157">
        <f t="shared" si="169"/>
        <v>725.67799906685013</v>
      </c>
      <c r="S89" s="158"/>
      <c r="T89" s="216">
        <f t="shared" si="170"/>
        <v>201476.26916513706</v>
      </c>
      <c r="U89" s="217"/>
      <c r="W89" s="65" t="s">
        <v>25</v>
      </c>
      <c r="X89" s="66"/>
      <c r="Y89" s="66"/>
      <c r="Z89" s="66"/>
      <c r="AA89" s="31">
        <f>(AA83*0.582)/12</f>
        <v>305.11112693418255</v>
      </c>
      <c r="AB89" s="31"/>
      <c r="AC89" s="31">
        <f t="shared" ref="AC89" si="221">(AC83*0.582)/12</f>
        <v>312.43232786731244</v>
      </c>
      <c r="AD89" s="31"/>
      <c r="AE89" s="31">
        <f t="shared" ref="AE89" si="222">(AE83*0.582)/12</f>
        <v>319.89384938796599</v>
      </c>
      <c r="AF89" s="31"/>
      <c r="AG89" s="31">
        <f t="shared" ref="AG89" si="223">(AG83*0.582)/12</f>
        <v>327.49838092748934</v>
      </c>
      <c r="AH89" s="31"/>
      <c r="AI89" s="31">
        <f t="shared" ref="AI89" si="224">(AI83*0.582)/12</f>
        <v>335.24866346376979</v>
      </c>
      <c r="AJ89" s="31"/>
      <c r="AK89" s="31">
        <f t="shared" ref="AK89" si="225">(AK83*0.582)/12</f>
        <v>890.75861744337772</v>
      </c>
      <c r="AL89" s="31"/>
      <c r="AM89" s="31">
        <f t="shared" ref="AM89" si="226">(AM83*0.582)/12</f>
        <v>906.13003698485898</v>
      </c>
      <c r="AN89" s="31"/>
      <c r="AO89" s="31">
        <f t="shared" ref="AO89" si="227">(AO83*0.582)/12</f>
        <v>921.79607029815554</v>
      </c>
      <c r="AP89" s="31"/>
      <c r="AQ89" s="31">
        <f t="shared" ref="AQ89" si="228">(AQ83*0.582)/12</f>
        <v>937.76236404942699</v>
      </c>
      <c r="AR89" s="31"/>
      <c r="AS89" s="31">
        <f t="shared" ref="AS89" si="229">(AS83*0.582)/12</f>
        <v>954.03467313072508</v>
      </c>
      <c r="AT89" s="31"/>
      <c r="AU89" s="31">
        <f t="shared" ref="AU89" si="230">(AU83*0.582)/12</f>
        <v>2100.2299896684735</v>
      </c>
      <c r="AV89" s="31"/>
      <c r="AW89" s="31">
        <f t="shared" ref="AW89" si="231">(AW83*0.582)/12</f>
        <v>2124.4532383339142</v>
      </c>
      <c r="AX89" s="31"/>
      <c r="AY89" s="31">
        <f t="shared" ref="AY89" si="232">(AY83*0.582)/12</f>
        <v>2149.1407578909075</v>
      </c>
      <c r="AZ89" s="31"/>
      <c r="BA89" s="31">
        <f t="shared" ref="BA89" si="233">(BA83*0.582)/12</f>
        <v>2174.3014467107541</v>
      </c>
      <c r="BB89" s="31"/>
      <c r="BC89" s="31">
        <f t="shared" ref="BC89" si="234">(BC83*0.582)/12</f>
        <v>2199.9443737139177</v>
      </c>
      <c r="BD89" s="31"/>
      <c r="BE89" s="31">
        <f t="shared" ref="BE89" si="235">(BE83*0.582)/12</f>
        <v>1255.4599189045362</v>
      </c>
      <c r="BF89" s="31"/>
      <c r="BG89" s="31">
        <f t="shared" ref="BG89" si="236">(BG83*0.582)/12</f>
        <v>1265.1931799067277</v>
      </c>
      <c r="BH89" s="31"/>
      <c r="BI89" s="31">
        <f t="shared" ref="BI89" si="237">(BI83*0.582)/12</f>
        <v>1275.1129918470535</v>
      </c>
      <c r="BJ89" s="31"/>
      <c r="BK89" s="31">
        <f t="shared" ref="BK89" si="238">(BK83*0.582)/12</f>
        <v>1285.2229302232336</v>
      </c>
      <c r="BL89" s="31"/>
      <c r="BM89" s="31">
        <f t="shared" ref="BM89" si="239">(BM83*0.582)/12</f>
        <v>1295.5266390621734</v>
      </c>
      <c r="BN89" s="31"/>
      <c r="BO89" s="31">
        <f t="shared" ref="BO89" si="240">(BO83*0.582)/12</f>
        <v>1306.0278322334179</v>
      </c>
      <c r="BP89" s="31"/>
      <c r="BQ89" s="31">
        <f t="shared" ref="BQ89" si="241">(BQ83*0.582)/12</f>
        <v>1316.7302947877793</v>
      </c>
      <c r="BR89" s="31"/>
      <c r="BS89" s="31">
        <f t="shared" ref="BS89" si="242">(BS83*0.582)/12</f>
        <v>1327.6378843216198</v>
      </c>
      <c r="BT89" s="31"/>
      <c r="BU89" s="31">
        <f t="shared" ref="BU89" si="243">(BU83*0.582)/12</f>
        <v>1338.7545323672855</v>
      </c>
      <c r="BV89" s="31"/>
      <c r="BW89" s="31">
        <f t="shared" ref="BW89" si="244">(BW83*0.582)/12</f>
        <v>1350.0842458101865</v>
      </c>
      <c r="BX89" s="72"/>
      <c r="BY89" s="31">
        <f t="shared" ref="BY89" si="245">(BY83*0.582)/12</f>
        <v>1356.3025</v>
      </c>
      <c r="BZ89" s="33"/>
    </row>
    <row r="90" spans="12:78" x14ac:dyDescent="0.35">
      <c r="L90" s="235">
        <v>45323</v>
      </c>
      <c r="M90" s="236"/>
      <c r="N90" s="157">
        <f t="shared" si="167"/>
        <v>1045.8310820768397</v>
      </c>
      <c r="O90" s="158"/>
      <c r="P90" s="216">
        <f t="shared" si="168"/>
        <v>319.00409284480031</v>
      </c>
      <c r="Q90" s="158"/>
      <c r="R90" s="157">
        <f t="shared" si="169"/>
        <v>726.82698923203941</v>
      </c>
      <c r="S90" s="158"/>
      <c r="T90" s="216">
        <f t="shared" si="170"/>
        <v>200749.44217590502</v>
      </c>
      <c r="U90" s="217"/>
      <c r="W90" s="65"/>
      <c r="X90" s="66"/>
      <c r="Y90" s="66"/>
      <c r="Z90" s="66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72"/>
      <c r="BY90" s="31"/>
      <c r="BZ90" s="33"/>
    </row>
    <row r="91" spans="12:78" x14ac:dyDescent="0.35">
      <c r="L91" s="165">
        <v>45352</v>
      </c>
      <c r="M91" s="166"/>
      <c r="N91" s="157">
        <f t="shared" si="167"/>
        <v>1045.8310820768397</v>
      </c>
      <c r="O91" s="158"/>
      <c r="P91" s="216">
        <f t="shared" si="168"/>
        <v>317.85328344518291</v>
      </c>
      <c r="Q91" s="158"/>
      <c r="R91" s="157">
        <f t="shared" si="169"/>
        <v>727.97779863165681</v>
      </c>
      <c r="S91" s="158"/>
      <c r="T91" s="216">
        <f t="shared" si="170"/>
        <v>200021.46437727337</v>
      </c>
      <c r="U91" s="217"/>
      <c r="W91" s="65" t="s">
        <v>26</v>
      </c>
      <c r="X91" s="66"/>
      <c r="Y91" s="66"/>
      <c r="Z91" s="66"/>
      <c r="AA91" s="31">
        <f>(AA83*0.622)/12</f>
        <v>326.08096383687558</v>
      </c>
      <c r="AB91" s="31"/>
      <c r="AC91" s="31">
        <f t="shared" ref="AC91" si="246">(AC83*0.622)/12</f>
        <v>333.90534009187002</v>
      </c>
      <c r="AD91" s="31"/>
      <c r="AE91" s="31">
        <f t="shared" ref="AE91" si="247">(AE83*0.622)/12</f>
        <v>341.87968096102207</v>
      </c>
      <c r="AF91" s="31"/>
      <c r="AG91" s="31">
        <f t="shared" ref="AG91" si="248">(AG83*0.622)/12</f>
        <v>350.0068607163202</v>
      </c>
      <c r="AH91" s="31"/>
      <c r="AI91" s="31">
        <f t="shared" ref="AI91" si="249">(AI83*0.622)/12</f>
        <v>358.28980871901172</v>
      </c>
      <c r="AJ91" s="31"/>
      <c r="AK91" s="31">
        <f t="shared" ref="AK91" si="250">(AK83*0.622)/12</f>
        <v>951.97914097900514</v>
      </c>
      <c r="AL91" s="31"/>
      <c r="AM91" s="31">
        <f t="shared" ref="AM91" si="251">(AM83*0.622)/12</f>
        <v>968.40701547179094</v>
      </c>
      <c r="AN91" s="31"/>
      <c r="AO91" s="31">
        <f t="shared" ref="AO91" si="252">(AO83*0.622)/12</f>
        <v>985.14975210558896</v>
      </c>
      <c r="AP91" s="31"/>
      <c r="AQ91" s="31">
        <f t="shared" ref="AQ91" si="253">(AQ83*0.622)/12</f>
        <v>1002.2133856335801</v>
      </c>
      <c r="AR91" s="31"/>
      <c r="AS91" s="31">
        <f t="shared" ref="AS91" si="254">(AS83*0.622)/12</f>
        <v>1019.604066473043</v>
      </c>
      <c r="AT91" s="31"/>
      <c r="AU91" s="31">
        <f t="shared" ref="AU91" si="255">(AU83*0.622)/12</f>
        <v>2244.575693425757</v>
      </c>
      <c r="AV91" s="31"/>
      <c r="AW91" s="31">
        <f t="shared" ref="AW91" si="256">(AW83*0.622)/12</f>
        <v>2270.4637701781699</v>
      </c>
      <c r="AX91" s="31"/>
      <c r="AY91" s="31">
        <f t="shared" ref="AY91" si="257">(AY83*0.622)/12</f>
        <v>2296.8480264744753</v>
      </c>
      <c r="AZ91" s="31"/>
      <c r="BA91" s="31">
        <f t="shared" ref="BA91" si="258">(BA83*0.622)/12</f>
        <v>2323.7379722578848</v>
      </c>
      <c r="BB91" s="31"/>
      <c r="BC91" s="31">
        <f t="shared" ref="BC91" si="259">(BC83*0.622)/12</f>
        <v>2351.1432997423658</v>
      </c>
      <c r="BD91" s="31"/>
      <c r="BE91" s="31">
        <f t="shared" ref="BE91" si="260">(BE83*0.622)/12</f>
        <v>1341.7458239838857</v>
      </c>
      <c r="BF91" s="31"/>
      <c r="BG91" s="31">
        <f t="shared" ref="BG91" si="261">(BG83*0.622)/12</f>
        <v>1352.1480376322761</v>
      </c>
      <c r="BH91" s="31"/>
      <c r="BI91" s="31">
        <f t="shared" ref="BI91" si="262">(BI83*0.622)/12</f>
        <v>1362.7496235891192</v>
      </c>
      <c r="BJ91" s="31"/>
      <c r="BK91" s="31">
        <f t="shared" ref="BK91" si="263">(BK83*0.622)/12</f>
        <v>1373.5544030908097</v>
      </c>
      <c r="BL91" s="31"/>
      <c r="BM91" s="31">
        <f t="shared" ref="BM91" si="264">(BM83*0.622)/12</f>
        <v>1384.5662706128385</v>
      </c>
      <c r="BN91" s="31"/>
      <c r="BO91" s="31">
        <f t="shared" ref="BO91" si="265">(BO83*0.622)/12</f>
        <v>1395.7891952735154</v>
      </c>
      <c r="BP91" s="31"/>
      <c r="BQ91" s="31">
        <f t="shared" ref="BQ91" si="266">(BQ83*0.622)/12</f>
        <v>1407.2272222646025</v>
      </c>
      <c r="BR91" s="31"/>
      <c r="BS91" s="31">
        <f t="shared" ref="BS91" si="267">(BS83*0.622)/12</f>
        <v>1418.8844743093603</v>
      </c>
      <c r="BT91" s="31"/>
      <c r="BU91" s="31">
        <f t="shared" ref="BU91" si="268">(BU83*0.622)/12</f>
        <v>1430.7651531485424</v>
      </c>
      <c r="BV91" s="31"/>
      <c r="BW91" s="31">
        <f t="shared" ref="BW91" si="269">(BW83*0.622)/12</f>
        <v>1442.8735410548732</v>
      </c>
      <c r="BX91" s="72"/>
      <c r="BY91" s="31">
        <f t="shared" ref="BY91" si="270">(BY83*0.622)/12</f>
        <v>1449.5191666666667</v>
      </c>
      <c r="BZ91" s="33"/>
    </row>
    <row r="92" spans="12:78" ht="16" thickBot="1" x14ac:dyDescent="0.4">
      <c r="L92" s="235">
        <v>45383</v>
      </c>
      <c r="M92" s="236"/>
      <c r="N92" s="157">
        <f t="shared" si="167"/>
        <v>1045.8310820768397</v>
      </c>
      <c r="O92" s="158"/>
      <c r="P92" s="216">
        <f t="shared" si="168"/>
        <v>316.70065193068285</v>
      </c>
      <c r="Q92" s="158"/>
      <c r="R92" s="157">
        <f t="shared" si="169"/>
        <v>729.13043014615687</v>
      </c>
      <c r="S92" s="158"/>
      <c r="T92" s="216">
        <f t="shared" si="170"/>
        <v>199292.33394712722</v>
      </c>
      <c r="U92" s="217"/>
      <c r="W92" s="83"/>
      <c r="X92" s="84"/>
      <c r="Y92" s="84"/>
      <c r="Z92" s="84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35"/>
      <c r="BY92" s="32"/>
      <c r="BZ92" s="34"/>
    </row>
    <row r="93" spans="12:78" ht="16" thickTop="1" x14ac:dyDescent="0.35">
      <c r="L93" s="165">
        <v>45413</v>
      </c>
      <c r="M93" s="166"/>
      <c r="N93" s="157">
        <f t="shared" si="167"/>
        <v>1045.8310820768397</v>
      </c>
      <c r="O93" s="158"/>
      <c r="P93" s="216">
        <f t="shared" si="168"/>
        <v>315.54619541628477</v>
      </c>
      <c r="Q93" s="158"/>
      <c r="R93" s="157">
        <f t="shared" si="169"/>
        <v>730.284886660555</v>
      </c>
      <c r="S93" s="158"/>
      <c r="T93" s="216">
        <f t="shared" si="170"/>
        <v>198562.04906046667</v>
      </c>
      <c r="U93" s="217"/>
      <c r="W93" s="73" t="s">
        <v>47</v>
      </c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7"/>
      <c r="BZ93" s="78"/>
    </row>
    <row r="94" spans="12:78" ht="16" thickBot="1" x14ac:dyDescent="0.4">
      <c r="L94" s="235">
        <v>45444</v>
      </c>
      <c r="M94" s="236"/>
      <c r="N94" s="157">
        <f t="shared" si="167"/>
        <v>1045.8310820768397</v>
      </c>
      <c r="O94" s="158"/>
      <c r="P94" s="216">
        <f t="shared" si="168"/>
        <v>314.38991101240555</v>
      </c>
      <c r="Q94" s="158"/>
      <c r="R94" s="157">
        <f t="shared" si="169"/>
        <v>731.44117106443423</v>
      </c>
      <c r="S94" s="158"/>
      <c r="T94" s="216">
        <f t="shared" si="170"/>
        <v>197830.60788940225</v>
      </c>
      <c r="U94" s="217"/>
      <c r="W94" s="75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9"/>
      <c r="BZ94" s="80"/>
    </row>
    <row r="95" spans="12:78" ht="16" thickTop="1" x14ac:dyDescent="0.35">
      <c r="L95" s="165">
        <v>45474</v>
      </c>
      <c r="M95" s="166"/>
      <c r="N95" s="157">
        <f t="shared" si="167"/>
        <v>1045.8310820768397</v>
      </c>
      <c r="O95" s="158"/>
      <c r="P95" s="216">
        <f t="shared" si="168"/>
        <v>313.23179582488689</v>
      </c>
      <c r="Q95" s="158"/>
      <c r="R95" s="157">
        <f t="shared" si="169"/>
        <v>732.59928625195289</v>
      </c>
      <c r="S95" s="158"/>
      <c r="T95" s="216">
        <f t="shared" si="170"/>
        <v>197098.00860315029</v>
      </c>
      <c r="U95" s="217"/>
      <c r="W95" s="103" t="s">
        <v>48</v>
      </c>
      <c r="X95" s="88"/>
      <c r="Y95" s="88"/>
      <c r="Z95" s="88"/>
      <c r="AA95" s="70">
        <f>((AA69/12)-R15-G39-G43-G45-G47-G49-G51-AA85)</f>
        <v>1702.2708567488219</v>
      </c>
      <c r="AB95" s="70"/>
      <c r="AC95" s="70">
        <f>((AA69/12)-R15-G39-G43-G45-G47-G49-G51-AC85)</f>
        <v>1698.3460892382782</v>
      </c>
      <c r="AD95" s="70"/>
      <c r="AE95" s="70">
        <f>((AA69/12)-R15-G39-G43-G45-G47-G49-G51-AE85)</f>
        <v>1694.3460983199896</v>
      </c>
      <c r="AF95" s="70"/>
      <c r="AG95" s="70">
        <f>(($AA$69/12)-$R$15-$G$39-$G$43-$G$45-$G$47-$G$49-$G$51-AG85)</f>
        <v>1690.2694422369461</v>
      </c>
      <c r="AH95" s="70"/>
      <c r="AI95" s="70">
        <f t="shared" ref="AI95" si="271">(($AA$69/12)-$R$15-$G$39-$G$43-$G$45-$G$47-$G$49-$G$51-AI85)</f>
        <v>1686.1146515989401</v>
      </c>
      <c r="AJ95" s="70"/>
      <c r="AK95" s="70">
        <f t="shared" ref="AK95" si="272">(($AA$69/12)-$R$15-$G$39-$G$43-$G$45-$G$47-$G$49-$G$51-AK85)</f>
        <v>1388.3155010119337</v>
      </c>
      <c r="AL95" s="70"/>
      <c r="AM95" s="70">
        <f t="shared" ref="AM95" si="273">(($AA$69/12)-$R$15-$G$39-$G$43-$G$45-$G$47-$G$49-$G$51-AM85)</f>
        <v>1380.0751523917584</v>
      </c>
      <c r="AN95" s="70"/>
      <c r="AO95" s="70">
        <f t="shared" ref="AO95" si="274">(($AA$69/12)-$R$15-$G$39-$G$43-$G$45-$G$47-$G$49-$G$51-AO85)</f>
        <v>1371.6768664918468</v>
      </c>
      <c r="AP95" s="70"/>
      <c r="AQ95" s="70">
        <f t="shared" ref="AQ95" si="275">(($AA$69/12)-$R$15-$G$39-$G$43-$G$45-$G$47-$G$49-$G$51-AQ85)</f>
        <v>1363.1176162334332</v>
      </c>
      <c r="AR95" s="70"/>
      <c r="AS95" s="70">
        <f t="shared" ref="AS95" si="276">(($AA$69/12)-$R$15-$G$39-$G$43-$G$45-$G$47-$G$49-$G$51-AS85)</f>
        <v>1354.3943165197477</v>
      </c>
      <c r="AT95" s="70"/>
      <c r="AU95" s="70">
        <f t="shared" ref="AU95" si="277">(($AA$69/12)-$R$15-$G$39-$G$43-$G$45-$G$47-$G$49-$G$51-AU85)</f>
        <v>739.93909528301629</v>
      </c>
      <c r="AV95" s="70"/>
      <c r="AW95" s="70">
        <f t="shared" ref="AW95" si="278">(($AA$69/12)-$R$15-$G$39-$G$43-$G$45-$G$47-$G$49-$G$51-AW85)</f>
        <v>726.95343620463586</v>
      </c>
      <c r="AX95" s="70"/>
      <c r="AY95" s="70">
        <f t="shared" ref="AY95" si="279">(($AA$69/12)-$R$15-$G$39-$G$43-$G$45-$G$47-$G$49-$G$51-AY85)</f>
        <v>713.71888963800029</v>
      </c>
      <c r="AZ95" s="70"/>
      <c r="BA95" s="70">
        <f t="shared" ref="BA95" si="280">(($AA$69/12)-$R$15-$G$39-$G$43-$G$45-$G$47-$G$49-$G$51-BA85)</f>
        <v>700.23068532220623</v>
      </c>
      <c r="BB95" s="70"/>
      <c r="BC95" s="70">
        <f t="shared" ref="BC95" si="281">(($AA$69/12)-$R$15-$G$39-$G$43-$G$45-$G$47-$G$49-$G$51-BC85)</f>
        <v>686.48396156793297</v>
      </c>
      <c r="BD95" s="70"/>
      <c r="BE95" s="70">
        <f t="shared" ref="BE95" si="282">(($AA$69/12)-$R$15-$G$39-$G$43-$G$45-$G$47-$G$49-$G$51-BE85)</f>
        <v>1192.8055249709005</v>
      </c>
      <c r="BF95" s="70"/>
      <c r="BG95" s="70">
        <f t="shared" ref="BG95" si="283">(($AA$69/12)-$R$15-$G$39-$G$43-$G$45-$G$47-$G$49-$G$51-BG85)</f>
        <v>1187.5876943305502</v>
      </c>
      <c r="BH95" s="70"/>
      <c r="BI95" s="70">
        <f t="shared" ref="BI95" si="284">(($AA$69/12)-$R$15-$G$39-$G$43-$G$45-$G$47-$G$49-$G$51-BI85)</f>
        <v>1182.2698570017158</v>
      </c>
      <c r="BJ95" s="70"/>
      <c r="BK95" s="70">
        <f t="shared" ref="BK95" si="285">(($AA$69/12)-$R$15-$G$39-$G$43-$G$45-$G$47-$G$49-$G$51-BK85)</f>
        <v>1176.8500962227326</v>
      </c>
      <c r="BL95" s="70"/>
      <c r="BM95" s="70">
        <f t="shared" ref="BM95" si="286">(($AA$69/12)-$R$15-$G$39-$G$43-$G$45-$G$47-$G$49-$G$51-BM85)</f>
        <v>1171.3264584946412</v>
      </c>
      <c r="BN95" s="70"/>
      <c r="BO95" s="70">
        <f t="shared" ref="BO95" si="287">(($AA$69/12)-$R$15-$G$39-$G$43-$G$45-$G$47-$G$49-$G$51-BO85)</f>
        <v>1165.6969528770669</v>
      </c>
      <c r="BP95" s="70"/>
      <c r="BQ95" s="70">
        <f t="shared" ref="BQ95" si="288">(($AA$69/12)-$R$15-$G$39-$G$43-$G$45-$G$47-$G$49-$G$51-BQ85)</f>
        <v>1159.9595502706052</v>
      </c>
      <c r="BR95" s="70"/>
      <c r="BS95" s="70">
        <f t="shared" ref="BS95" si="289">(($AA$69/12)-$R$15-$G$39-$G$43-$G$45-$G$47-$G$49-$G$51-BS85)</f>
        <v>1154.1121826854535</v>
      </c>
      <c r="BT95" s="70"/>
      <c r="BU95" s="70">
        <f t="shared" ref="BU95" si="290">(($AA$69/12)-$R$15-$G$39-$G$43-$G$45-$G$47-$G$49-$G$51-BU85)</f>
        <v>1148.1527424960245</v>
      </c>
      <c r="BV95" s="70"/>
      <c r="BW95" s="70">
        <f t="shared" ref="BW95" si="291">(($AA$69/12)-$R$15-$G$39-$G$43-$G$45-$G$47-$G$49-$G$51-BW85)</f>
        <v>1142.0790816812732</v>
      </c>
      <c r="BX95" s="70"/>
      <c r="BY95" s="81">
        <f>(($AA$69/12)-$G$39-$G$43-$G$45-$G$47-$G$49-$G$51-BY85)</f>
        <v>2184.5766666666664</v>
      </c>
      <c r="BZ95" s="82"/>
    </row>
    <row r="96" spans="12:78" x14ac:dyDescent="0.35">
      <c r="L96" s="235">
        <v>45505</v>
      </c>
      <c r="M96" s="236"/>
      <c r="N96" s="157">
        <f t="shared" si="167"/>
        <v>1045.8310820768397</v>
      </c>
      <c r="O96" s="158"/>
      <c r="P96" s="216">
        <f t="shared" si="168"/>
        <v>312.07184695498796</v>
      </c>
      <c r="Q96" s="158"/>
      <c r="R96" s="157">
        <f t="shared" si="169"/>
        <v>733.75923512185182</v>
      </c>
      <c r="S96" s="158"/>
      <c r="T96" s="216">
        <f t="shared" si="170"/>
        <v>196364.24936802842</v>
      </c>
      <c r="U96" s="217"/>
      <c r="W96" s="65"/>
      <c r="X96" s="66"/>
      <c r="Y96" s="66"/>
      <c r="Z96" s="66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3"/>
    </row>
    <row r="97" spans="12:78" x14ac:dyDescent="0.35">
      <c r="L97" s="165">
        <v>45536</v>
      </c>
      <c r="M97" s="166"/>
      <c r="N97" s="157">
        <f t="shared" si="167"/>
        <v>1045.8310820768397</v>
      </c>
      <c r="O97" s="158"/>
      <c r="P97" s="216">
        <f t="shared" si="168"/>
        <v>310.91006149937834</v>
      </c>
      <c r="Q97" s="158"/>
      <c r="R97" s="157">
        <f t="shared" si="169"/>
        <v>734.92102057746138</v>
      </c>
      <c r="S97" s="158"/>
      <c r="T97" s="216">
        <f t="shared" si="170"/>
        <v>195629.32834745097</v>
      </c>
      <c r="U97" s="217"/>
      <c r="W97" s="69" t="s">
        <v>49</v>
      </c>
      <c r="X97" s="66"/>
      <c r="Y97" s="66"/>
      <c r="Z97" s="66"/>
      <c r="AA97" s="31">
        <f>((AA69/12)-R15-G39-G43-G45-G47-G49-G51-AA87)</f>
        <v>1618.39150913805</v>
      </c>
      <c r="AB97" s="31"/>
      <c r="AC97" s="31">
        <f>((AA69/12)-R15-G39-G43-G45-G47-G49-G51-AC87)</f>
        <v>1612.4540403400479</v>
      </c>
      <c r="AD97" s="31"/>
      <c r="AE97" s="31">
        <f>((AA69/12)-R15-G39-G43-G45-G47-G49-G51-AE87)</f>
        <v>1606.4027720277652</v>
      </c>
      <c r="AF97" s="31"/>
      <c r="AG97" s="31">
        <f>(($AA$69/12)-$R$15-$G$39-$G$43-$G$45-$G$47-$G$49-$G$51-AG87)</f>
        <v>1600.2355230816227</v>
      </c>
      <c r="AH97" s="31"/>
      <c r="AI97" s="31">
        <f t="shared" ref="AI97" si="292">(($AA$69/12)-$R$15-$G$39-$G$43-$G$45-$G$47-$G$49-$G$51-AI87)</f>
        <v>1593.9500705779724</v>
      </c>
      <c r="AJ97" s="31"/>
      <c r="AK97" s="31">
        <f t="shared" ref="AK97" si="293">(($AA$69/12)-$R$15-$G$39-$G$43-$G$45-$G$47-$G$49-$G$51-AK87)</f>
        <v>1143.4334068694245</v>
      </c>
      <c r="AL97" s="31"/>
      <c r="AM97" s="31">
        <f t="shared" ref="AM97" si="294">(($AA$69/12)-$R$15-$G$39-$G$43-$G$45-$G$47-$G$49-$G$51-AM87)</f>
        <v>1130.9672384440307</v>
      </c>
      <c r="AN97" s="31"/>
      <c r="AO97" s="31">
        <f t="shared" ref="AO97" si="295">(($AA$69/12)-$R$15-$G$39-$G$43-$G$45-$G$47-$G$49-$G$51-AO87)</f>
        <v>1118.2621392621131</v>
      </c>
      <c r="AP97" s="31"/>
      <c r="AQ97" s="31">
        <f t="shared" ref="AQ97" si="296">(($AA$69/12)-$R$15-$G$39-$G$43-$G$45-$G$47-$G$49-$G$51-AQ87)</f>
        <v>1105.3135298968209</v>
      </c>
      <c r="AR97" s="31"/>
      <c r="AS97" s="31">
        <f t="shared" ref="AS97" si="297">(($AA$69/12)-$R$15-$G$39-$G$43-$G$45-$G$47-$G$49-$G$51-AS87)</f>
        <v>1092.1167431504762</v>
      </c>
      <c r="AT97" s="31"/>
      <c r="AU97" s="31">
        <f t="shared" ref="AU97" si="298">(($AA$69/12)-$R$15-$G$39-$G$43-$G$45-$G$47-$G$49-$G$51-AU87)</f>
        <v>162.55628025388296</v>
      </c>
      <c r="AV97" s="31"/>
      <c r="AW97" s="31">
        <f t="shared" ref="AW97" si="299">(($AA$69/12)-$R$15-$G$39-$G$43-$G$45-$G$47-$G$49-$G$51-AW87)</f>
        <v>142.91130882761468</v>
      </c>
      <c r="AX97" s="31"/>
      <c r="AY97" s="31">
        <f t="shared" ref="AY97" si="300">(($AA$69/12)-$R$15-$G$39-$G$43-$G$45-$G$47-$G$49-$G$51-AY87)</f>
        <v>122.88981530373007</v>
      </c>
      <c r="AZ97" s="31"/>
      <c r="BA97" s="31">
        <f t="shared" ref="BA97" si="301">(($AA$69/12)-$R$15-$G$39-$G$43-$G$45-$G$47-$G$49-$G$51-BA87)</f>
        <v>102.48458313368269</v>
      </c>
      <c r="BB97" s="31"/>
      <c r="BC97" s="31">
        <f t="shared" ref="BC97" si="302">(($AA$69/12)-$R$15-$G$39-$G$43-$G$45-$G$47-$G$49-$G$51-BC87)</f>
        <v>81.688257454141421</v>
      </c>
      <c r="BD97" s="31"/>
      <c r="BE97" s="31">
        <f t="shared" ref="BE97" si="303">(($AA$69/12)-$R$15-$G$39-$G$43-$G$45-$G$47-$G$49-$G$51-BE87)</f>
        <v>847.66190465350223</v>
      </c>
      <c r="BF97" s="31"/>
      <c r="BG97" s="31">
        <f t="shared" ref="BG97" si="304">(($AA$69/12)-$R$15-$G$39-$G$43-$G$45-$G$47-$G$49-$G$51-BG87)</f>
        <v>839.76826342835693</v>
      </c>
      <c r="BH97" s="31"/>
      <c r="BI97" s="31">
        <f t="shared" ref="BI97" si="305">(($AA$69/12)-$R$15-$G$39-$G$43-$G$45-$G$47-$G$49-$G$51-BI87)</f>
        <v>831.72333003345375</v>
      </c>
      <c r="BJ97" s="31"/>
      <c r="BK97" s="31">
        <f t="shared" ref="BK97" si="306">(($AA$69/12)-$R$15-$G$39-$G$43-$G$45-$G$47-$G$49-$G$51-BK87)</f>
        <v>823.52420475242798</v>
      </c>
      <c r="BL97" s="31"/>
      <c r="BM97" s="31">
        <f t="shared" ref="BM97" si="307">(($AA$69/12)-$R$15-$G$39-$G$43-$G$45-$G$47-$G$49-$G$51-BM87)</f>
        <v>815.16793229198197</v>
      </c>
      <c r="BN97" s="31"/>
      <c r="BO97" s="31">
        <f t="shared" ref="BO97" si="308">(($AA$69/12)-$R$15-$G$39-$G$43-$G$45-$G$47-$G$49-$G$51-BO87)</f>
        <v>806.65150071667722</v>
      </c>
      <c r="BP97" s="31"/>
      <c r="BQ97" s="31">
        <f t="shared" ref="BQ97" si="309">(($AA$69/12)-$R$15-$G$39-$G$43-$G$45-$G$47-$G$49-$G$51-BQ87)</f>
        <v>797.97184036331191</v>
      </c>
      <c r="BR97" s="31"/>
      <c r="BS97" s="31">
        <f t="shared" ref="BS97" si="310">(($AA$69/12)-$R$15-$G$39-$G$43-$G$45-$G$47-$G$49-$G$51-BS87)</f>
        <v>789.12582273449266</v>
      </c>
      <c r="BT97" s="31"/>
      <c r="BU97" s="31">
        <f t="shared" ref="BU97" si="311">(($AA$69/12)-$R$15-$G$39-$G$43-$G$45-$G$47-$G$49-$G$51-BU87)</f>
        <v>780.11025937099748</v>
      </c>
      <c r="BV97" s="31"/>
      <c r="BW97" s="31">
        <f t="shared" ref="BW97" si="312">(($AA$69/12)-$R$15-$G$39-$G$43-$G$45-$G$47-$G$49-$G$51-BW87)</f>
        <v>770.92190070252809</v>
      </c>
      <c r="BX97" s="31"/>
      <c r="BY97" s="31">
        <f>(($AA$69/12)-$G$39-$G$43-$G$45-$G$47-$G$49-$G$51-BY87)</f>
        <v>1811.7099999999998</v>
      </c>
      <c r="BZ97" s="33"/>
    </row>
    <row r="98" spans="12:78" x14ac:dyDescent="0.35">
      <c r="L98" s="235">
        <v>45566</v>
      </c>
      <c r="M98" s="236"/>
      <c r="N98" s="157">
        <f t="shared" si="167"/>
        <v>1045.8310820768397</v>
      </c>
      <c r="O98" s="158"/>
      <c r="P98" s="216">
        <f t="shared" si="168"/>
        <v>309.74643655013068</v>
      </c>
      <c r="Q98" s="158"/>
      <c r="R98" s="157">
        <f t="shared" si="169"/>
        <v>736.08464552670898</v>
      </c>
      <c r="S98" s="158"/>
      <c r="T98" s="216">
        <f t="shared" si="170"/>
        <v>194893.24370192425</v>
      </c>
      <c r="U98" s="217"/>
      <c r="W98" s="65"/>
      <c r="X98" s="66"/>
      <c r="Y98" s="66"/>
      <c r="Z98" s="66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3"/>
    </row>
    <row r="99" spans="12:78" x14ac:dyDescent="0.35">
      <c r="L99" s="165">
        <v>45597</v>
      </c>
      <c r="M99" s="166"/>
      <c r="N99" s="157">
        <f t="shared" si="167"/>
        <v>1045.8310820768397</v>
      </c>
      <c r="O99" s="158"/>
      <c r="P99" s="216">
        <f t="shared" si="168"/>
        <v>308.58096919471336</v>
      </c>
      <c r="Q99" s="158"/>
      <c r="R99" s="157">
        <f t="shared" si="169"/>
        <v>737.25011288212636</v>
      </c>
      <c r="S99" s="158"/>
      <c r="T99" s="216">
        <f t="shared" si="170"/>
        <v>194155.99358904213</v>
      </c>
      <c r="U99" s="217"/>
      <c r="W99" s="65" t="s">
        <v>50</v>
      </c>
      <c r="X99" s="66"/>
      <c r="Y99" s="66"/>
      <c r="Z99" s="66"/>
      <c r="AA99" s="31">
        <f>((AA69/12)-R15-G39-G43-G45-G47-G49-G51-AA89)</f>
        <v>1560.7244576556445</v>
      </c>
      <c r="AB99" s="31"/>
      <c r="AC99" s="31">
        <f>((AA69/12)-R15-G39-G43-G45-G47-G49-G51-AC89)</f>
        <v>1553.4032567225145</v>
      </c>
      <c r="AD99" s="31"/>
      <c r="AE99" s="31">
        <f>((AA69/12)-R15-G39-G43-G45-G47-G49-G51-AE89)</f>
        <v>1545.9417352018611</v>
      </c>
      <c r="AF99" s="31"/>
      <c r="AG99" s="31">
        <f>(($AA$69/12)-$R$15-$G$39-$G$43-$G$45-$G$47-$G$49-$G$51-AG89)</f>
        <v>1538.3372036623377</v>
      </c>
      <c r="AH99" s="31"/>
      <c r="AI99" s="31">
        <f t="shared" ref="AI99" si="313">(($AA$69/12)-$R$15-$G$39-$G$43-$G$45-$G$47-$G$49-$G$51-AI89)</f>
        <v>1530.5869211260572</v>
      </c>
      <c r="AJ99" s="31"/>
      <c r="AK99" s="31">
        <f t="shared" ref="AK99" si="314">(($AA$69/12)-$R$15-$G$39-$G$43-$G$45-$G$47-$G$49-$G$51-AK89)</f>
        <v>975.07696714644931</v>
      </c>
      <c r="AL99" s="31"/>
      <c r="AM99" s="31">
        <f t="shared" ref="AM99" si="315">(($AA$69/12)-$R$15-$G$39-$G$43-$G$45-$G$47-$G$49-$G$51-AM89)</f>
        <v>959.70554760496805</v>
      </c>
      <c r="AN99" s="31"/>
      <c r="AO99" s="31">
        <f t="shared" ref="AO99" si="316">(($AA$69/12)-$R$15-$G$39-$G$43-$G$45-$G$47-$G$49-$G$51-AO89)</f>
        <v>944.03951429167148</v>
      </c>
      <c r="AP99" s="31"/>
      <c r="AQ99" s="31">
        <f t="shared" ref="AQ99" si="317">(($AA$69/12)-$R$15-$G$39-$G$43-$G$45-$G$47-$G$49-$G$51-AQ89)</f>
        <v>928.07322054040003</v>
      </c>
      <c r="AR99" s="31"/>
      <c r="AS99" s="31">
        <f t="shared" ref="AS99" si="318">(($AA$69/12)-$R$15-$G$39-$G$43-$G$45-$G$47-$G$49-$G$51-AS89)</f>
        <v>911.80091145910194</v>
      </c>
      <c r="AT99" s="31"/>
      <c r="AU99" s="31">
        <f t="shared" ref="AU99" si="319">(($AA$69/12)-$R$15-$G$39-$G$43-$G$45-$G$47-$G$49-$G$51-AU89)</f>
        <v>-234.39440507864651</v>
      </c>
      <c r="AV99" s="31"/>
      <c r="AW99" s="31">
        <f t="shared" ref="AW99" si="320">(($AA$69/12)-$R$15-$G$39-$G$43-$G$45-$G$47-$G$49-$G$51-AW89)</f>
        <v>-258.61765374408719</v>
      </c>
      <c r="AX99" s="31"/>
      <c r="AY99" s="31">
        <f t="shared" ref="AY99" si="321">(($AA$69/12)-$R$15-$G$39-$G$43-$G$45-$G$47-$G$49-$G$51-AY89)</f>
        <v>-283.30517330108046</v>
      </c>
      <c r="AZ99" s="31"/>
      <c r="BA99" s="31">
        <f t="shared" ref="BA99" si="322">(($AA$69/12)-$R$15-$G$39-$G$43-$G$45-$G$47-$G$49-$G$51-BA89)</f>
        <v>-308.46586212092711</v>
      </c>
      <c r="BB99" s="31"/>
      <c r="BC99" s="31">
        <f t="shared" ref="BC99" si="323">(($AA$69/12)-$R$15-$G$39-$G$43-$G$45-$G$47-$G$49-$G$51-BC89)</f>
        <v>-334.10878912409066</v>
      </c>
      <c r="BD99" s="31"/>
      <c r="BE99" s="31">
        <f t="shared" ref="BE99" si="324">(($AA$69/12)-$R$15-$G$39-$G$43-$G$45-$G$47-$G$49-$G$51-BE89)</f>
        <v>610.37566568529087</v>
      </c>
      <c r="BF99" s="31"/>
      <c r="BG99" s="31">
        <f t="shared" ref="BG99" si="325">(($AA$69/12)-$R$15-$G$39-$G$43-$G$45-$G$47-$G$49-$G$51-BG89)</f>
        <v>600.64240468309936</v>
      </c>
      <c r="BH99" s="31"/>
      <c r="BI99" s="31">
        <f t="shared" ref="BI99" si="326">(($AA$69/12)-$R$15-$G$39-$G$43-$G$45-$G$47-$G$49-$G$51-BI89)</f>
        <v>590.72259274277349</v>
      </c>
      <c r="BJ99" s="31"/>
      <c r="BK99" s="31">
        <f t="shared" ref="BK99" si="327">(($AA$69/12)-$R$15-$G$39-$G$43-$G$45-$G$47-$G$49-$G$51-BK89)</f>
        <v>580.61265436659346</v>
      </c>
      <c r="BL99" s="31"/>
      <c r="BM99" s="31">
        <f t="shared" ref="BM99" si="328">(($AA$69/12)-$R$15-$G$39-$G$43-$G$45-$G$47-$G$49-$G$51-BM89)</f>
        <v>570.30894552765358</v>
      </c>
      <c r="BN99" s="31"/>
      <c r="BO99" s="31">
        <f t="shared" ref="BO99" si="329">(($AA$69/12)-$R$15-$G$39-$G$43-$G$45-$G$47-$G$49-$G$51-BO89)</f>
        <v>559.80775235640908</v>
      </c>
      <c r="BP99" s="31"/>
      <c r="BQ99" s="31">
        <f t="shared" ref="BQ99" si="330">(($AA$69/12)-$R$15-$G$39-$G$43-$G$45-$G$47-$G$49-$G$51-BQ89)</f>
        <v>549.10528980204776</v>
      </c>
      <c r="BR99" s="31"/>
      <c r="BS99" s="31">
        <f t="shared" ref="BS99" si="331">(($AA$69/12)-$R$15-$G$39-$G$43-$G$45-$G$47-$G$49-$G$51-BS89)</f>
        <v>538.1977002682072</v>
      </c>
      <c r="BT99" s="31"/>
      <c r="BU99" s="31">
        <f t="shared" ref="BU99" si="332">(($AA$69/12)-$R$15-$G$39-$G$43-$G$45-$G$47-$G$49-$G$51-BU89)</f>
        <v>527.08105222254153</v>
      </c>
      <c r="BV99" s="31"/>
      <c r="BW99" s="31">
        <f t="shared" ref="BW99" si="333">(($AA$69/12)-$R$15-$G$39-$G$43-$G$45-$G$47-$G$49-$G$51-BW89)</f>
        <v>515.75133877964049</v>
      </c>
      <c r="BX99" s="31"/>
      <c r="BY99" s="31">
        <f>(($AA$69/12)-$G$39-$G$43-$G$45-$G$47-$G$49-$G$51-BY89)</f>
        <v>1555.3641666666665</v>
      </c>
      <c r="BZ99" s="33"/>
    </row>
    <row r="100" spans="12:78" x14ac:dyDescent="0.35">
      <c r="L100" s="235">
        <v>45627</v>
      </c>
      <c r="M100" s="236"/>
      <c r="N100" s="157">
        <f t="shared" si="167"/>
        <v>1045.8310820768397</v>
      </c>
      <c r="O100" s="158"/>
      <c r="P100" s="216">
        <f t="shared" si="168"/>
        <v>307.41365651598335</v>
      </c>
      <c r="Q100" s="158"/>
      <c r="R100" s="157">
        <f t="shared" si="169"/>
        <v>738.41742556085637</v>
      </c>
      <c r="S100" s="158"/>
      <c r="T100" s="216">
        <f t="shared" si="170"/>
        <v>193417.57616348128</v>
      </c>
      <c r="U100" s="217"/>
      <c r="W100" s="65"/>
      <c r="X100" s="66"/>
      <c r="Y100" s="66"/>
      <c r="Z100" s="66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3"/>
    </row>
    <row r="101" spans="12:78" x14ac:dyDescent="0.35">
      <c r="L101" s="165">
        <v>45658</v>
      </c>
      <c r="M101" s="166"/>
      <c r="N101" s="157">
        <f t="shared" si="167"/>
        <v>1045.8310820768397</v>
      </c>
      <c r="O101" s="158"/>
      <c r="P101" s="216">
        <f t="shared" si="168"/>
        <v>306.24449559217868</v>
      </c>
      <c r="Q101" s="158"/>
      <c r="R101" s="157">
        <f t="shared" si="169"/>
        <v>739.58658648466098</v>
      </c>
      <c r="S101" s="158"/>
      <c r="T101" s="216">
        <f t="shared" si="170"/>
        <v>192677.98957699662</v>
      </c>
      <c r="U101" s="217"/>
      <c r="W101" s="65" t="s">
        <v>51</v>
      </c>
      <c r="X101" s="66"/>
      <c r="Y101" s="66"/>
      <c r="Z101" s="66"/>
      <c r="AA101" s="31">
        <f>((AA69/12)-R15-G39-G43-G45-G47-G49-G51-AA91)</f>
        <v>1539.7546207529515</v>
      </c>
      <c r="AB101" s="31"/>
      <c r="AC101" s="31">
        <f>((AA69/12)-R15-G39-G43-G45-G47-G49-G51-AC91)</f>
        <v>1531.9302444979571</v>
      </c>
      <c r="AD101" s="31"/>
      <c r="AE101" s="31">
        <f>((AA69/12)-R15-G39-G43-G45-G47-G49-G51-AE91)</f>
        <v>1523.9559036288049</v>
      </c>
      <c r="AF101" s="31"/>
      <c r="AG101" s="31">
        <f>(($AA$69/12)-$R$15-$G$39-$G$43-$G$45-$G$47-$G$49-$G$51-AG91)</f>
        <v>1515.8287238735068</v>
      </c>
      <c r="AH101" s="31"/>
      <c r="AI101" s="31">
        <f t="shared" ref="AI101" si="334">(($AA$69/12)-$R$15-$G$39-$G$43-$G$45-$G$47-$G$49-$G$51-AI91)</f>
        <v>1507.5457758708153</v>
      </c>
      <c r="AJ101" s="31"/>
      <c r="AK101" s="31">
        <f t="shared" ref="AK101" si="335">(($AA$69/12)-$R$15-$G$39-$G$43-$G$45-$G$47-$G$49-$G$51-AK91)</f>
        <v>913.85644361082188</v>
      </c>
      <c r="AL101" s="31"/>
      <c r="AM101" s="31">
        <f t="shared" ref="AM101" si="336">(($AA$69/12)-$R$15-$G$39-$G$43-$G$45-$G$47-$G$49-$G$51-AM91)</f>
        <v>897.42856911803608</v>
      </c>
      <c r="AN101" s="31"/>
      <c r="AO101" s="31">
        <f t="shared" ref="AO101" si="337">(($AA$69/12)-$R$15-$G$39-$G$43-$G$45-$G$47-$G$49-$G$51-AO91)</f>
        <v>880.68583248423806</v>
      </c>
      <c r="AP101" s="31"/>
      <c r="AQ101" s="31">
        <f t="shared" ref="AQ101" si="338">(($AA$69/12)-$R$15-$G$39-$G$43-$G$45-$G$47-$G$49-$G$51-AQ91)</f>
        <v>863.62219895624696</v>
      </c>
      <c r="AR101" s="31"/>
      <c r="AS101" s="31">
        <f t="shared" ref="AS101" si="339">(($AA$69/12)-$R$15-$G$39-$G$43-$G$45-$G$47-$G$49-$G$51-AS91)</f>
        <v>846.23151811678406</v>
      </c>
      <c r="AT101" s="31"/>
      <c r="AU101" s="31">
        <f t="shared" ref="AU101" si="340">(($AA$69/12)-$R$15-$G$39-$G$43-$G$45-$G$47-$G$49-$G$51-AU91)</f>
        <v>-378.74010883592996</v>
      </c>
      <c r="AV101" s="31"/>
      <c r="AW101" s="31">
        <f t="shared" ref="AW101" si="341">(($AA$69/12)-$R$15-$G$39-$G$43-$G$45-$G$47-$G$49-$G$51-AW91)</f>
        <v>-404.62818558834283</v>
      </c>
      <c r="AX101" s="31"/>
      <c r="AY101" s="31">
        <f t="shared" ref="AY101" si="342">(($AA$69/12)-$R$15-$G$39-$G$43-$G$45-$G$47-$G$49-$G$51-AY91)</f>
        <v>-431.0124418846483</v>
      </c>
      <c r="AZ101" s="31"/>
      <c r="BA101" s="31">
        <f t="shared" ref="BA101" si="343">(($AA$69/12)-$R$15-$G$39-$G$43-$G$45-$G$47-$G$49-$G$51-BA91)</f>
        <v>-457.90238766805783</v>
      </c>
      <c r="BB101" s="31"/>
      <c r="BC101" s="31">
        <f t="shared" ref="BC101" si="344">(($AA$69/12)-$R$15-$G$39-$G$43-$G$45-$G$47-$G$49-$G$51-BC91)</f>
        <v>-485.30771515253878</v>
      </c>
      <c r="BD101" s="31"/>
      <c r="BE101" s="31">
        <f t="shared" ref="BE101" si="345">(($AA$69/12)-$R$15-$G$39-$G$43-$G$45-$G$47-$G$49-$G$51-BE91)</f>
        <v>524.08976060594136</v>
      </c>
      <c r="BF101" s="31"/>
      <c r="BG101" s="31">
        <f t="shared" ref="BG101" si="346">(($AA$69/12)-$R$15-$G$39-$G$43-$G$45-$G$47-$G$49-$G$51-BG91)</f>
        <v>513.68754695755092</v>
      </c>
      <c r="BH101" s="31"/>
      <c r="BI101" s="31">
        <f t="shared" ref="BI101" si="347">(($AA$69/12)-$R$15-$G$39-$G$43-$G$45-$G$47-$G$49-$G$51-BI91)</f>
        <v>503.08596100070781</v>
      </c>
      <c r="BJ101" s="31"/>
      <c r="BK101" s="31">
        <f t="shared" ref="BK101" si="348">(($AA$69/12)-$R$15-$G$39-$G$43-$G$45-$G$47-$G$49-$G$51-BK91)</f>
        <v>492.28118149901729</v>
      </c>
      <c r="BL101" s="31"/>
      <c r="BM101" s="31">
        <f t="shared" ref="BM101" si="349">(($AA$69/12)-$R$15-$G$39-$G$43-$G$45-$G$47-$G$49-$G$51-BM91)</f>
        <v>481.26931397698854</v>
      </c>
      <c r="BN101" s="31"/>
      <c r="BO101" s="31">
        <f t="shared" ref="BO101" si="350">(($AA$69/12)-$R$15-$G$39-$G$43-$G$45-$G$47-$G$49-$G$51-BO91)</f>
        <v>470.04638931631166</v>
      </c>
      <c r="BP101" s="31"/>
      <c r="BQ101" s="31">
        <f t="shared" ref="BQ101" si="351">(($AA$69/12)-$R$15-$G$39-$G$43-$G$45-$G$47-$G$49-$G$51-BQ91)</f>
        <v>458.60836232522456</v>
      </c>
      <c r="BR101" s="31"/>
      <c r="BS101" s="31">
        <f t="shared" ref="BS101" si="352">(($AA$69/12)-$R$15-$G$39-$G$43-$G$45-$G$47-$G$49-$G$51-BS91)</f>
        <v>446.95111028046676</v>
      </c>
      <c r="BT101" s="31"/>
      <c r="BU101" s="31">
        <f t="shared" ref="BU101" si="353">(($AA$69/12)-$R$15-$G$39-$G$43-$G$45-$G$47-$G$49-$G$51-BU91)</f>
        <v>435.07043144128465</v>
      </c>
      <c r="BV101" s="31"/>
      <c r="BW101" s="31">
        <f t="shared" ref="BW101" si="354">(($AA$69/12)-$R$15-$G$39-$G$43-$G$45-$G$47-$G$49-$G$51-BW91)</f>
        <v>422.96204353495386</v>
      </c>
      <c r="BX101" s="31"/>
      <c r="BY101" s="31">
        <f>(($AA$69/12)-$G$39-$G$43-$G$45-$G$47-$G$49-$G$51-BY91)</f>
        <v>1462.1474999999998</v>
      </c>
      <c r="BZ101" s="33"/>
    </row>
    <row r="102" spans="12:78" ht="16" thickBot="1" x14ac:dyDescent="0.4">
      <c r="L102" s="235">
        <v>45689</v>
      </c>
      <c r="M102" s="236"/>
      <c r="N102" s="157">
        <f t="shared" si="167"/>
        <v>1045.8310820768397</v>
      </c>
      <c r="O102" s="158"/>
      <c r="P102" s="216">
        <f t="shared" si="168"/>
        <v>305.07348349691131</v>
      </c>
      <c r="Q102" s="158"/>
      <c r="R102" s="157">
        <f t="shared" si="169"/>
        <v>740.75759857992841</v>
      </c>
      <c r="S102" s="158"/>
      <c r="T102" s="216">
        <f t="shared" si="170"/>
        <v>191937.2319784167</v>
      </c>
      <c r="U102" s="217"/>
      <c r="W102" s="67"/>
      <c r="X102" s="68"/>
      <c r="Y102" s="68"/>
      <c r="Z102" s="68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4"/>
    </row>
    <row r="103" spans="12:78" ht="16.5" thickTop="1" thickBot="1" x14ac:dyDescent="0.4">
      <c r="L103" s="165">
        <v>45717</v>
      </c>
      <c r="M103" s="166"/>
      <c r="N103" s="157">
        <f t="shared" si="167"/>
        <v>1045.8310820768397</v>
      </c>
      <c r="O103" s="158"/>
      <c r="P103" s="216">
        <f t="shared" si="168"/>
        <v>303.90061729915976</v>
      </c>
      <c r="Q103" s="158"/>
      <c r="R103" s="157">
        <f t="shared" si="169"/>
        <v>741.93046477767996</v>
      </c>
      <c r="S103" s="158"/>
      <c r="T103" s="216">
        <f t="shared" si="170"/>
        <v>191195.30151363902</v>
      </c>
      <c r="U103" s="217"/>
    </row>
    <row r="104" spans="12:78" ht="15" customHeight="1" thickTop="1" x14ac:dyDescent="0.35">
      <c r="L104" s="235">
        <v>45748</v>
      </c>
      <c r="M104" s="236"/>
      <c r="N104" s="157">
        <f t="shared" si="167"/>
        <v>1045.8310820768397</v>
      </c>
      <c r="O104" s="158"/>
      <c r="P104" s="216">
        <f t="shared" si="168"/>
        <v>302.72589406326176</v>
      </c>
      <c r="Q104" s="158"/>
      <c r="R104" s="157">
        <f t="shared" si="169"/>
        <v>743.10518801357796</v>
      </c>
      <c r="S104" s="158"/>
      <c r="T104" s="216">
        <f t="shared" si="170"/>
        <v>190452.19632562544</v>
      </c>
      <c r="U104" s="217"/>
      <c r="W104" s="13" t="s">
        <v>59</v>
      </c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5"/>
    </row>
    <row r="105" spans="12:78" ht="15" customHeight="1" x14ac:dyDescent="0.35">
      <c r="L105" s="165">
        <v>45778</v>
      </c>
      <c r="M105" s="166"/>
      <c r="N105" s="157">
        <f t="shared" si="167"/>
        <v>1045.8310820768397</v>
      </c>
      <c r="O105" s="158"/>
      <c r="P105" s="216">
        <f t="shared" si="168"/>
        <v>301.54931084890694</v>
      </c>
      <c r="Q105" s="158"/>
      <c r="R105" s="157">
        <f t="shared" si="169"/>
        <v>744.28177122793272</v>
      </c>
      <c r="S105" s="158"/>
      <c r="T105" s="216">
        <f t="shared" si="170"/>
        <v>189707.91455439752</v>
      </c>
      <c r="U105" s="217"/>
      <c r="W105" s="16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8"/>
    </row>
    <row r="106" spans="12:78" ht="15" customHeight="1" x14ac:dyDescent="0.35">
      <c r="L106" s="235">
        <v>45809</v>
      </c>
      <c r="M106" s="236"/>
      <c r="N106" s="157">
        <f t="shared" si="167"/>
        <v>1045.8310820768397</v>
      </c>
      <c r="O106" s="158"/>
      <c r="P106" s="216">
        <f t="shared" si="168"/>
        <v>300.3708647111294</v>
      </c>
      <c r="Q106" s="158"/>
      <c r="R106" s="157">
        <f t="shared" si="169"/>
        <v>745.46021736571038</v>
      </c>
      <c r="S106" s="158"/>
      <c r="T106" s="216">
        <f t="shared" si="170"/>
        <v>188962.45433703181</v>
      </c>
      <c r="U106" s="217"/>
      <c r="W106" s="16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8"/>
    </row>
    <row r="107" spans="12:78" ht="15" customHeight="1" x14ac:dyDescent="0.35">
      <c r="L107" s="165">
        <v>45839</v>
      </c>
      <c r="M107" s="166"/>
      <c r="N107" s="157">
        <f t="shared" si="167"/>
        <v>1045.8310820768397</v>
      </c>
      <c r="O107" s="158"/>
      <c r="P107" s="216">
        <f t="shared" si="168"/>
        <v>299.19055270030037</v>
      </c>
      <c r="Q107" s="158"/>
      <c r="R107" s="157">
        <f t="shared" si="169"/>
        <v>746.64052937653935</v>
      </c>
      <c r="S107" s="158"/>
      <c r="T107" s="216">
        <f t="shared" si="170"/>
        <v>188215.81380765527</v>
      </c>
      <c r="U107" s="217"/>
      <c r="W107" s="16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8"/>
    </row>
    <row r="108" spans="12:78" ht="15" customHeight="1" x14ac:dyDescent="0.35">
      <c r="L108" s="235">
        <v>45870</v>
      </c>
      <c r="M108" s="236"/>
      <c r="N108" s="157">
        <f t="shared" si="167"/>
        <v>1045.8310820768397</v>
      </c>
      <c r="O108" s="158"/>
      <c r="P108" s="216">
        <f t="shared" si="168"/>
        <v>298.00837186212084</v>
      </c>
      <c r="Q108" s="158"/>
      <c r="R108" s="157">
        <f t="shared" si="169"/>
        <v>747.82271021471888</v>
      </c>
      <c r="S108" s="158"/>
      <c r="T108" s="216">
        <f t="shared" si="170"/>
        <v>187467.99109744056</v>
      </c>
      <c r="U108" s="217"/>
      <c r="W108" s="16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8"/>
    </row>
    <row r="109" spans="12:78" ht="15" customHeight="1" x14ac:dyDescent="0.35">
      <c r="L109" s="165">
        <v>45901</v>
      </c>
      <c r="M109" s="166"/>
      <c r="N109" s="157">
        <f t="shared" si="167"/>
        <v>1045.8310820768397</v>
      </c>
      <c r="O109" s="158"/>
      <c r="P109" s="216">
        <f t="shared" si="168"/>
        <v>296.82431923761425</v>
      </c>
      <c r="Q109" s="158"/>
      <c r="R109" s="157">
        <f t="shared" si="169"/>
        <v>749.00676283922553</v>
      </c>
      <c r="S109" s="158"/>
      <c r="T109" s="216">
        <f t="shared" si="170"/>
        <v>186718.98433460135</v>
      </c>
      <c r="U109" s="217"/>
      <c r="W109" s="16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8"/>
    </row>
    <row r="110" spans="12:78" ht="15" customHeight="1" x14ac:dyDescent="0.35">
      <c r="L110" s="235">
        <v>45931</v>
      </c>
      <c r="M110" s="236"/>
      <c r="N110" s="157">
        <f t="shared" si="167"/>
        <v>1045.8310820768397</v>
      </c>
      <c r="O110" s="158"/>
      <c r="P110" s="216">
        <f t="shared" si="168"/>
        <v>295.63839186311878</v>
      </c>
      <c r="Q110" s="158"/>
      <c r="R110" s="157">
        <f t="shared" si="169"/>
        <v>750.19269021372088</v>
      </c>
      <c r="S110" s="158"/>
      <c r="T110" s="216">
        <f t="shared" si="170"/>
        <v>185968.79164438762</v>
      </c>
      <c r="U110" s="217"/>
      <c r="W110" s="16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8"/>
    </row>
    <row r="111" spans="12:78" x14ac:dyDescent="0.35">
      <c r="L111" s="165">
        <v>45962</v>
      </c>
      <c r="M111" s="166"/>
      <c r="N111" s="157">
        <f t="shared" si="167"/>
        <v>1045.8310820768397</v>
      </c>
      <c r="O111" s="158"/>
      <c r="P111" s="216">
        <f t="shared" si="168"/>
        <v>294.45058677028038</v>
      </c>
      <c r="Q111" s="158"/>
      <c r="R111" s="157">
        <f t="shared" si="169"/>
        <v>751.3804953065594</v>
      </c>
      <c r="S111" s="158"/>
      <c r="T111" s="216">
        <f t="shared" si="170"/>
        <v>185217.41114908105</v>
      </c>
      <c r="U111" s="217"/>
      <c r="W111" s="16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8"/>
    </row>
    <row r="112" spans="12:78" x14ac:dyDescent="0.35">
      <c r="L112" s="235">
        <v>45992</v>
      </c>
      <c r="M112" s="236"/>
      <c r="N112" s="157">
        <f t="shared" si="167"/>
        <v>1045.8310820768397</v>
      </c>
      <c r="O112" s="158"/>
      <c r="P112" s="216">
        <f t="shared" si="168"/>
        <v>293.26090098604499</v>
      </c>
      <c r="Q112" s="158"/>
      <c r="R112" s="157">
        <f t="shared" si="169"/>
        <v>752.57018109079468</v>
      </c>
      <c r="S112" s="158"/>
      <c r="T112" s="216">
        <f t="shared" si="170"/>
        <v>184464.84096799025</v>
      </c>
      <c r="U112" s="217"/>
      <c r="W112" s="16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8"/>
    </row>
    <row r="113" spans="12:36" x14ac:dyDescent="0.35">
      <c r="L113" s="165">
        <v>46023</v>
      </c>
      <c r="M113" s="166"/>
      <c r="N113" s="157">
        <f t="shared" si="167"/>
        <v>1045.8310820768397</v>
      </c>
      <c r="O113" s="158"/>
      <c r="P113" s="216">
        <f t="shared" si="168"/>
        <v>292.06933153265123</v>
      </c>
      <c r="Q113" s="158"/>
      <c r="R113" s="157">
        <f t="shared" si="169"/>
        <v>753.76175054418854</v>
      </c>
      <c r="S113" s="158"/>
      <c r="T113" s="216">
        <f t="shared" si="170"/>
        <v>183711.07921744607</v>
      </c>
      <c r="U113" s="217"/>
      <c r="W113" s="16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8"/>
    </row>
    <row r="114" spans="12:36" ht="16" thickBot="1" x14ac:dyDescent="0.4">
      <c r="L114" s="235">
        <v>46054</v>
      </c>
      <c r="M114" s="236"/>
      <c r="N114" s="157">
        <f t="shared" si="167"/>
        <v>1045.8310820768397</v>
      </c>
      <c r="O114" s="158"/>
      <c r="P114" s="216">
        <f t="shared" si="168"/>
        <v>290.87587542762293</v>
      </c>
      <c r="Q114" s="158"/>
      <c r="R114" s="157">
        <f t="shared" si="169"/>
        <v>754.95520664921673</v>
      </c>
      <c r="S114" s="158"/>
      <c r="T114" s="216">
        <f t="shared" si="170"/>
        <v>182956.12401079686</v>
      </c>
      <c r="U114" s="217"/>
      <c r="W114" s="19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1"/>
    </row>
    <row r="115" spans="12:36" ht="16" thickTop="1" x14ac:dyDescent="0.35">
      <c r="L115" s="165">
        <v>46082</v>
      </c>
      <c r="M115" s="166"/>
      <c r="N115" s="157">
        <f t="shared" si="167"/>
        <v>1045.8310820768397</v>
      </c>
      <c r="O115" s="158"/>
      <c r="P115" s="216">
        <f t="shared" si="168"/>
        <v>289.68052968376168</v>
      </c>
      <c r="Q115" s="158"/>
      <c r="R115" s="157">
        <f t="shared" si="169"/>
        <v>756.15055239307799</v>
      </c>
      <c r="S115" s="158"/>
      <c r="T115" s="216">
        <f t="shared" si="170"/>
        <v>182199.97345840378</v>
      </c>
      <c r="U115" s="217"/>
    </row>
    <row r="116" spans="12:36" x14ac:dyDescent="0.35">
      <c r="L116" s="235">
        <v>46113</v>
      </c>
      <c r="M116" s="236"/>
      <c r="N116" s="157">
        <f t="shared" si="167"/>
        <v>1045.8310820768397</v>
      </c>
      <c r="O116" s="158"/>
      <c r="P116" s="216">
        <f t="shared" si="168"/>
        <v>288.4832913091393</v>
      </c>
      <c r="Q116" s="158"/>
      <c r="R116" s="157">
        <f t="shared" si="169"/>
        <v>757.34779076770042</v>
      </c>
      <c r="S116" s="158"/>
      <c r="T116" s="216">
        <f t="shared" si="170"/>
        <v>181442.62566763608</v>
      </c>
      <c r="U116" s="217"/>
    </row>
    <row r="117" spans="12:36" x14ac:dyDescent="0.35">
      <c r="L117" s="165">
        <v>46143</v>
      </c>
      <c r="M117" s="166"/>
      <c r="N117" s="157">
        <f t="shared" si="167"/>
        <v>1045.8310820768397</v>
      </c>
      <c r="O117" s="158"/>
      <c r="P117" s="216">
        <f t="shared" si="168"/>
        <v>287.28415730709042</v>
      </c>
      <c r="Q117" s="158"/>
      <c r="R117" s="157">
        <f t="shared" si="169"/>
        <v>758.54692476974924</v>
      </c>
      <c r="S117" s="158"/>
      <c r="T117" s="216">
        <f t="shared" si="170"/>
        <v>180684.07874286632</v>
      </c>
      <c r="U117" s="217"/>
    </row>
    <row r="118" spans="12:36" x14ac:dyDescent="0.35">
      <c r="L118" s="235">
        <v>46174</v>
      </c>
      <c r="M118" s="236"/>
      <c r="N118" s="157">
        <f t="shared" si="167"/>
        <v>1045.8310820768397</v>
      </c>
      <c r="O118" s="158"/>
      <c r="P118" s="216">
        <f t="shared" si="168"/>
        <v>286.08312467620499</v>
      </c>
      <c r="Q118" s="158"/>
      <c r="R118" s="157">
        <f t="shared" si="169"/>
        <v>759.74795740063473</v>
      </c>
      <c r="S118" s="158"/>
      <c r="T118" s="216">
        <f t="shared" si="170"/>
        <v>179924.33078546569</v>
      </c>
      <c r="U118" s="217"/>
    </row>
    <row r="119" spans="12:36" x14ac:dyDescent="0.35">
      <c r="L119" s="165">
        <v>46204</v>
      </c>
      <c r="M119" s="166"/>
      <c r="N119" s="157">
        <f t="shared" si="167"/>
        <v>1045.8310820768397</v>
      </c>
      <c r="O119" s="158"/>
      <c r="P119" s="216">
        <f t="shared" si="168"/>
        <v>284.88019041032067</v>
      </c>
      <c r="Q119" s="158"/>
      <c r="R119" s="157">
        <f t="shared" si="169"/>
        <v>760.95089166651906</v>
      </c>
      <c r="S119" s="158"/>
      <c r="T119" s="216">
        <f t="shared" si="170"/>
        <v>179163.37989379917</v>
      </c>
      <c r="U119" s="217"/>
    </row>
    <row r="120" spans="12:36" x14ac:dyDescent="0.35">
      <c r="L120" s="235">
        <v>46235</v>
      </c>
      <c r="M120" s="236"/>
      <c r="N120" s="157">
        <f t="shared" si="167"/>
        <v>1045.8310820768397</v>
      </c>
      <c r="O120" s="158"/>
      <c r="P120" s="216">
        <f t="shared" si="168"/>
        <v>283.67535149851534</v>
      </c>
      <c r="Q120" s="158"/>
      <c r="R120" s="157">
        <f t="shared" si="169"/>
        <v>762.15573057832444</v>
      </c>
      <c r="S120" s="158"/>
      <c r="T120" s="216">
        <f t="shared" si="170"/>
        <v>178401.22416322085</v>
      </c>
      <c r="U120" s="217"/>
    </row>
    <row r="121" spans="12:36" x14ac:dyDescent="0.35">
      <c r="L121" s="165">
        <v>46266</v>
      </c>
      <c r="M121" s="166"/>
      <c r="N121" s="157">
        <f t="shared" si="167"/>
        <v>1045.8310820768397</v>
      </c>
      <c r="O121" s="158"/>
      <c r="P121" s="216">
        <f t="shared" si="168"/>
        <v>282.46860492509967</v>
      </c>
      <c r="Q121" s="158"/>
      <c r="R121" s="157">
        <f t="shared" si="169"/>
        <v>763.36247715173999</v>
      </c>
      <c r="S121" s="158"/>
      <c r="T121" s="216">
        <f t="shared" si="170"/>
        <v>177637.86168606911</v>
      </c>
      <c r="U121" s="217"/>
    </row>
    <row r="122" spans="12:36" x14ac:dyDescent="0.35">
      <c r="L122" s="235">
        <v>46296</v>
      </c>
      <c r="M122" s="236"/>
      <c r="N122" s="157">
        <f t="shared" si="167"/>
        <v>1045.8310820768397</v>
      </c>
      <c r="O122" s="158"/>
      <c r="P122" s="216">
        <f t="shared" si="168"/>
        <v>281.2599476696094</v>
      </c>
      <c r="Q122" s="158"/>
      <c r="R122" s="157">
        <f t="shared" si="169"/>
        <v>764.57113440723037</v>
      </c>
      <c r="S122" s="158"/>
      <c r="T122" s="216">
        <f t="shared" si="170"/>
        <v>176873.29055166189</v>
      </c>
      <c r="U122" s="217"/>
    </row>
    <row r="123" spans="12:36" x14ac:dyDescent="0.35">
      <c r="L123" s="165">
        <v>46327</v>
      </c>
      <c r="M123" s="166"/>
      <c r="N123" s="157">
        <f t="shared" si="167"/>
        <v>1045.8310820768397</v>
      </c>
      <c r="O123" s="158"/>
      <c r="P123" s="216">
        <f t="shared" si="168"/>
        <v>280.049376706798</v>
      </c>
      <c r="Q123" s="158"/>
      <c r="R123" s="157">
        <f t="shared" si="169"/>
        <v>765.78170537004166</v>
      </c>
      <c r="S123" s="158"/>
      <c r="T123" s="216">
        <f t="shared" si="170"/>
        <v>176107.50884629186</v>
      </c>
      <c r="U123" s="217"/>
    </row>
    <row r="124" spans="12:36" x14ac:dyDescent="0.35">
      <c r="L124" s="235">
        <v>46357</v>
      </c>
      <c r="M124" s="236"/>
      <c r="N124" s="157">
        <f t="shared" si="167"/>
        <v>1045.8310820768397</v>
      </c>
      <c r="O124" s="158"/>
      <c r="P124" s="216">
        <f t="shared" si="168"/>
        <v>278.83688900662878</v>
      </c>
      <c r="Q124" s="158"/>
      <c r="R124" s="157">
        <f t="shared" si="169"/>
        <v>766.99419307021094</v>
      </c>
      <c r="S124" s="158"/>
      <c r="T124" s="216">
        <f t="shared" si="170"/>
        <v>175340.51465322165</v>
      </c>
      <c r="U124" s="217"/>
    </row>
    <row r="125" spans="12:36" x14ac:dyDescent="0.35">
      <c r="L125" s="165">
        <v>46388</v>
      </c>
      <c r="M125" s="166"/>
      <c r="N125" s="157">
        <f t="shared" si="167"/>
        <v>1045.8310820768397</v>
      </c>
      <c r="O125" s="158"/>
      <c r="P125" s="216">
        <f t="shared" si="168"/>
        <v>277.62248153426759</v>
      </c>
      <c r="Q125" s="158"/>
      <c r="R125" s="157">
        <f t="shared" si="169"/>
        <v>768.20860054257219</v>
      </c>
      <c r="S125" s="158"/>
      <c r="T125" s="216">
        <f t="shared" si="170"/>
        <v>174572.30605267908</v>
      </c>
      <c r="U125" s="217"/>
    </row>
    <row r="126" spans="12:36" x14ac:dyDescent="0.35">
      <c r="L126" s="235">
        <v>46419</v>
      </c>
      <c r="M126" s="236"/>
      <c r="N126" s="157">
        <f t="shared" si="167"/>
        <v>1045.8310820768397</v>
      </c>
      <c r="O126" s="158"/>
      <c r="P126" s="216">
        <f t="shared" si="168"/>
        <v>276.4061512500752</v>
      </c>
      <c r="Q126" s="158"/>
      <c r="R126" s="157">
        <f t="shared" si="169"/>
        <v>769.42493082676447</v>
      </c>
      <c r="S126" s="158"/>
      <c r="T126" s="216">
        <f t="shared" si="170"/>
        <v>173802.88112185232</v>
      </c>
      <c r="U126" s="217"/>
    </row>
    <row r="127" spans="12:36" x14ac:dyDescent="0.35">
      <c r="L127" s="165">
        <v>46447</v>
      </c>
      <c r="M127" s="166"/>
      <c r="N127" s="157">
        <f t="shared" si="167"/>
        <v>1045.8310820768397</v>
      </c>
      <c r="O127" s="158"/>
      <c r="P127" s="216">
        <f t="shared" si="168"/>
        <v>275.18789510959948</v>
      </c>
      <c r="Q127" s="158"/>
      <c r="R127" s="157">
        <f t="shared" si="169"/>
        <v>770.64318696724024</v>
      </c>
      <c r="S127" s="158"/>
      <c r="T127" s="216">
        <f t="shared" si="170"/>
        <v>173032.23793488508</v>
      </c>
      <c r="U127" s="217"/>
    </row>
    <row r="128" spans="12:36" x14ac:dyDescent="0.35">
      <c r="L128" s="235">
        <v>46478</v>
      </c>
      <c r="M128" s="236"/>
      <c r="N128" s="157">
        <f t="shared" si="167"/>
        <v>1045.8310820768397</v>
      </c>
      <c r="O128" s="158"/>
      <c r="P128" s="216">
        <f t="shared" si="168"/>
        <v>273.96771006356806</v>
      </c>
      <c r="Q128" s="158"/>
      <c r="R128" s="157">
        <f t="shared" si="169"/>
        <v>771.8633720132716</v>
      </c>
      <c r="S128" s="158"/>
      <c r="T128" s="216">
        <f t="shared" si="170"/>
        <v>172260.37456287182</v>
      </c>
      <c r="U128" s="217"/>
    </row>
    <row r="129" spans="12:21" x14ac:dyDescent="0.35">
      <c r="L129" s="165">
        <v>46508</v>
      </c>
      <c r="M129" s="166"/>
      <c r="N129" s="157">
        <f t="shared" si="167"/>
        <v>1045.8310820768397</v>
      </c>
      <c r="O129" s="158"/>
      <c r="P129" s="216">
        <f t="shared" si="168"/>
        <v>272.74559305788034</v>
      </c>
      <c r="Q129" s="158"/>
      <c r="R129" s="157">
        <f t="shared" si="169"/>
        <v>773.08548901895938</v>
      </c>
      <c r="S129" s="158"/>
      <c r="T129" s="216">
        <f t="shared" si="170"/>
        <v>171487.28907385285</v>
      </c>
      <c r="U129" s="217"/>
    </row>
    <row r="130" spans="12:21" x14ac:dyDescent="0.35">
      <c r="L130" s="235">
        <v>46539</v>
      </c>
      <c r="M130" s="236"/>
      <c r="N130" s="157">
        <f t="shared" si="167"/>
        <v>1045.8310820768397</v>
      </c>
      <c r="O130" s="158"/>
      <c r="P130" s="216">
        <f t="shared" si="168"/>
        <v>271.52154103360033</v>
      </c>
      <c r="Q130" s="158"/>
      <c r="R130" s="157">
        <f t="shared" si="169"/>
        <v>774.30954104323939</v>
      </c>
      <c r="S130" s="158"/>
      <c r="T130" s="216">
        <f t="shared" si="170"/>
        <v>170712.97953280961</v>
      </c>
      <c r="U130" s="217"/>
    </row>
    <row r="131" spans="12:21" x14ac:dyDescent="0.35">
      <c r="L131" s="165">
        <v>46569</v>
      </c>
      <c r="M131" s="166"/>
      <c r="N131" s="157">
        <f t="shared" si="167"/>
        <v>1045.8310820768397</v>
      </c>
      <c r="O131" s="158"/>
      <c r="P131" s="216">
        <f t="shared" si="168"/>
        <v>270.29555092694852</v>
      </c>
      <c r="Q131" s="158"/>
      <c r="R131" s="157">
        <f t="shared" si="169"/>
        <v>775.5355311498912</v>
      </c>
      <c r="S131" s="158"/>
      <c r="T131" s="216">
        <f t="shared" si="170"/>
        <v>169937.44400165972</v>
      </c>
      <c r="U131" s="217"/>
    </row>
    <row r="132" spans="12:21" x14ac:dyDescent="0.35">
      <c r="L132" s="235">
        <v>46600</v>
      </c>
      <c r="M132" s="236"/>
      <c r="N132" s="157">
        <f t="shared" si="167"/>
        <v>1045.8310820768397</v>
      </c>
      <c r="O132" s="158"/>
      <c r="P132" s="216">
        <f t="shared" si="168"/>
        <v>269.06761966929457</v>
      </c>
      <c r="Q132" s="158"/>
      <c r="R132" s="157">
        <f t="shared" si="169"/>
        <v>776.76346240754515</v>
      </c>
      <c r="S132" s="158"/>
      <c r="T132" s="216">
        <f t="shared" si="170"/>
        <v>169160.68053925218</v>
      </c>
      <c r="U132" s="217"/>
    </row>
    <row r="133" spans="12:21" x14ac:dyDescent="0.35">
      <c r="L133" s="165">
        <v>46631</v>
      </c>
      <c r="M133" s="166"/>
      <c r="N133" s="157">
        <f t="shared" si="167"/>
        <v>1045.8310820768397</v>
      </c>
      <c r="O133" s="158"/>
      <c r="P133" s="216">
        <f t="shared" si="168"/>
        <v>267.83774418714927</v>
      </c>
      <c r="Q133" s="158"/>
      <c r="R133" s="157">
        <f t="shared" si="169"/>
        <v>777.99333788969045</v>
      </c>
      <c r="S133" s="158"/>
      <c r="T133" s="216">
        <f t="shared" si="170"/>
        <v>168382.68720136248</v>
      </c>
      <c r="U133" s="217"/>
    </row>
    <row r="134" spans="12:21" x14ac:dyDescent="0.35">
      <c r="L134" s="235">
        <v>46661</v>
      </c>
      <c r="M134" s="236"/>
      <c r="N134" s="157">
        <f t="shared" si="167"/>
        <v>1045.8310820768397</v>
      </c>
      <c r="O134" s="158"/>
      <c r="P134" s="216">
        <f t="shared" si="168"/>
        <v>266.60592140215726</v>
      </c>
      <c r="Q134" s="158"/>
      <c r="R134" s="157">
        <f t="shared" si="169"/>
        <v>779.22516067468246</v>
      </c>
      <c r="S134" s="158"/>
      <c r="T134" s="216">
        <f t="shared" si="170"/>
        <v>167603.46204068779</v>
      </c>
      <c r="U134" s="217"/>
    </row>
    <row r="135" spans="12:21" x14ac:dyDescent="0.35">
      <c r="L135" s="165">
        <v>46692</v>
      </c>
      <c r="M135" s="166"/>
      <c r="N135" s="157">
        <f t="shared" si="167"/>
        <v>1045.8310820768397</v>
      </c>
      <c r="O135" s="158"/>
      <c r="P135" s="216">
        <f t="shared" si="168"/>
        <v>265.372148231089</v>
      </c>
      <c r="Q135" s="158"/>
      <c r="R135" s="157">
        <f t="shared" si="169"/>
        <v>780.45893384575072</v>
      </c>
      <c r="S135" s="158"/>
      <c r="T135" s="216">
        <f t="shared" si="170"/>
        <v>166823.00310684205</v>
      </c>
      <c r="U135" s="217"/>
    </row>
    <row r="136" spans="12:21" x14ac:dyDescent="0.35">
      <c r="L136" s="235">
        <v>46722</v>
      </c>
      <c r="M136" s="236"/>
      <c r="N136" s="157">
        <f t="shared" si="167"/>
        <v>1045.8310820768397</v>
      </c>
      <c r="O136" s="158"/>
      <c r="P136" s="216">
        <f t="shared" si="168"/>
        <v>264.13642158583326</v>
      </c>
      <c r="Q136" s="158"/>
      <c r="R136" s="157">
        <f t="shared" si="169"/>
        <v>781.69466049100652</v>
      </c>
      <c r="S136" s="158"/>
      <c r="T136" s="216">
        <f t="shared" si="170"/>
        <v>166041.30844635103</v>
      </c>
      <c r="U136" s="217"/>
    </row>
    <row r="137" spans="12:21" x14ac:dyDescent="0.35">
      <c r="L137" s="165">
        <v>46753</v>
      </c>
      <c r="M137" s="166"/>
      <c r="N137" s="157">
        <f t="shared" si="167"/>
        <v>1045.8310820768397</v>
      </c>
      <c r="O137" s="158"/>
      <c r="P137" s="216">
        <f t="shared" si="168"/>
        <v>262.89873837338911</v>
      </c>
      <c r="Q137" s="158"/>
      <c r="R137" s="157">
        <f t="shared" si="169"/>
        <v>782.93234370345067</v>
      </c>
      <c r="S137" s="158"/>
      <c r="T137" s="216">
        <f t="shared" si="170"/>
        <v>165258.37610264757</v>
      </c>
      <c r="U137" s="217"/>
    </row>
    <row r="138" spans="12:21" x14ac:dyDescent="0.35">
      <c r="L138" s="235">
        <v>46784</v>
      </c>
      <c r="M138" s="236"/>
      <c r="N138" s="157">
        <f t="shared" si="167"/>
        <v>1045.8310820768397</v>
      </c>
      <c r="O138" s="158"/>
      <c r="P138" s="216">
        <f t="shared" si="168"/>
        <v>261.65909549585865</v>
      </c>
      <c r="Q138" s="158"/>
      <c r="R138" s="157">
        <f t="shared" si="169"/>
        <v>784.17198658098107</v>
      </c>
      <c r="S138" s="158"/>
      <c r="T138" s="216">
        <f t="shared" si="170"/>
        <v>164474.2041160666</v>
      </c>
      <c r="U138" s="217"/>
    </row>
    <row r="139" spans="12:21" x14ac:dyDescent="0.35">
      <c r="L139" s="165">
        <v>46813</v>
      </c>
      <c r="M139" s="166"/>
      <c r="N139" s="157">
        <f t="shared" si="167"/>
        <v>1045.8310820768397</v>
      </c>
      <c r="O139" s="158"/>
      <c r="P139" s="216">
        <f t="shared" si="168"/>
        <v>260.41748985043876</v>
      </c>
      <c r="Q139" s="158"/>
      <c r="R139" s="157">
        <f t="shared" si="169"/>
        <v>785.41359222640097</v>
      </c>
      <c r="S139" s="158"/>
      <c r="T139" s="216">
        <f t="shared" si="170"/>
        <v>163688.7905238402</v>
      </c>
      <c r="U139" s="217"/>
    </row>
    <row r="140" spans="12:21" x14ac:dyDescent="0.35">
      <c r="L140" s="235">
        <v>46844</v>
      </c>
      <c r="M140" s="236"/>
      <c r="N140" s="157">
        <f t="shared" si="167"/>
        <v>1045.8310820768397</v>
      </c>
      <c r="O140" s="158"/>
      <c r="P140" s="216">
        <f t="shared" si="168"/>
        <v>259.17391832941365</v>
      </c>
      <c r="Q140" s="158"/>
      <c r="R140" s="157">
        <f t="shared" si="169"/>
        <v>786.65716374742601</v>
      </c>
      <c r="S140" s="158"/>
      <c r="T140" s="216">
        <f t="shared" si="170"/>
        <v>162902.13336009279</v>
      </c>
      <c r="U140" s="217"/>
    </row>
    <row r="141" spans="12:21" x14ac:dyDescent="0.35">
      <c r="L141" s="165">
        <v>46874</v>
      </c>
      <c r="M141" s="166"/>
      <c r="N141" s="157">
        <f t="shared" si="167"/>
        <v>1045.8310820768397</v>
      </c>
      <c r="O141" s="158"/>
      <c r="P141" s="216">
        <f t="shared" si="168"/>
        <v>257.92837782014692</v>
      </c>
      <c r="Q141" s="158"/>
      <c r="R141" s="157">
        <f t="shared" si="169"/>
        <v>787.9027042566928</v>
      </c>
      <c r="S141" s="158"/>
      <c r="T141" s="216">
        <f t="shared" si="170"/>
        <v>162114.23065583609</v>
      </c>
      <c r="U141" s="217"/>
    </row>
    <row r="142" spans="12:21" x14ac:dyDescent="0.35">
      <c r="L142" s="235">
        <v>46905</v>
      </c>
      <c r="M142" s="236"/>
      <c r="N142" s="157">
        <f t="shared" si="167"/>
        <v>1045.8310820768397</v>
      </c>
      <c r="O142" s="158"/>
      <c r="P142" s="216">
        <f t="shared" si="168"/>
        <v>256.68086520507381</v>
      </c>
      <c r="Q142" s="158"/>
      <c r="R142" s="157">
        <f t="shared" si="169"/>
        <v>789.15021687176591</v>
      </c>
      <c r="S142" s="158"/>
      <c r="T142" s="216">
        <f t="shared" si="170"/>
        <v>161325.08043896433</v>
      </c>
      <c r="U142" s="217"/>
    </row>
    <row r="143" spans="12:21" x14ac:dyDescent="0.35">
      <c r="L143" s="165">
        <v>46935</v>
      </c>
      <c r="M143" s="166"/>
      <c r="N143" s="157">
        <f t="shared" si="167"/>
        <v>1045.8310820768397</v>
      </c>
      <c r="O143" s="158"/>
      <c r="P143" s="216">
        <f t="shared" si="168"/>
        <v>255.43137736169351</v>
      </c>
      <c r="Q143" s="158"/>
      <c r="R143" s="157">
        <f t="shared" si="169"/>
        <v>790.39970471514619</v>
      </c>
      <c r="S143" s="158"/>
      <c r="T143" s="216">
        <f t="shared" si="170"/>
        <v>160534.68073424918</v>
      </c>
      <c r="U143" s="217"/>
    </row>
    <row r="144" spans="12:21" x14ac:dyDescent="0.35">
      <c r="L144" s="235">
        <v>46966</v>
      </c>
      <c r="M144" s="236"/>
      <c r="N144" s="157">
        <f t="shared" si="167"/>
        <v>1045.8310820768397</v>
      </c>
      <c r="O144" s="158"/>
      <c r="P144" s="216">
        <f t="shared" si="168"/>
        <v>254.17991116256121</v>
      </c>
      <c r="Q144" s="158"/>
      <c r="R144" s="157">
        <f t="shared" si="169"/>
        <v>791.65117091427851</v>
      </c>
      <c r="S144" s="158"/>
      <c r="T144" s="216">
        <f t="shared" si="170"/>
        <v>159743.02956333492</v>
      </c>
      <c r="U144" s="217"/>
    </row>
    <row r="145" spans="12:21" x14ac:dyDescent="0.35">
      <c r="L145" s="165">
        <v>46997</v>
      </c>
      <c r="M145" s="166"/>
      <c r="N145" s="157">
        <f t="shared" si="167"/>
        <v>1045.8310820768397</v>
      </c>
      <c r="O145" s="158"/>
      <c r="P145" s="216">
        <f t="shared" si="168"/>
        <v>252.92646347528029</v>
      </c>
      <c r="Q145" s="158"/>
      <c r="R145" s="157">
        <f t="shared" si="169"/>
        <v>792.90461860155938</v>
      </c>
      <c r="S145" s="158"/>
      <c r="T145" s="216">
        <f t="shared" si="170"/>
        <v>158950.12494473337</v>
      </c>
      <c r="U145" s="217"/>
    </row>
    <row r="146" spans="12:21" x14ac:dyDescent="0.35">
      <c r="L146" s="235">
        <v>47027</v>
      </c>
      <c r="M146" s="236"/>
      <c r="N146" s="157">
        <f t="shared" si="167"/>
        <v>1045.8310820768397</v>
      </c>
      <c r="O146" s="158"/>
      <c r="P146" s="216">
        <f t="shared" si="168"/>
        <v>251.6710311624945</v>
      </c>
      <c r="Q146" s="158"/>
      <c r="R146" s="157">
        <f t="shared" si="169"/>
        <v>794.16005091434522</v>
      </c>
      <c r="S146" s="158"/>
      <c r="T146" s="216">
        <f t="shared" si="170"/>
        <v>158155.96489381904</v>
      </c>
      <c r="U146" s="217"/>
    </row>
    <row r="147" spans="12:21" x14ac:dyDescent="0.35">
      <c r="L147" s="165">
        <v>47058</v>
      </c>
      <c r="M147" s="166"/>
      <c r="N147" s="157">
        <f t="shared" si="167"/>
        <v>1045.8310820768397</v>
      </c>
      <c r="O147" s="158"/>
      <c r="P147" s="216">
        <f t="shared" si="168"/>
        <v>250.41361108188013</v>
      </c>
      <c r="Q147" s="158"/>
      <c r="R147" s="157">
        <f t="shared" si="169"/>
        <v>795.41747099495956</v>
      </c>
      <c r="S147" s="158"/>
      <c r="T147" s="216">
        <f t="shared" si="170"/>
        <v>157360.54742282408</v>
      </c>
      <c r="U147" s="217"/>
    </row>
    <row r="148" spans="12:21" x14ac:dyDescent="0.35">
      <c r="L148" s="235">
        <v>47088</v>
      </c>
      <c r="M148" s="236"/>
      <c r="N148" s="157">
        <f t="shared" ref="N148:N211" si="355">$R$15</f>
        <v>1045.8310820768397</v>
      </c>
      <c r="O148" s="158"/>
      <c r="P148" s="216">
        <f t="shared" ref="P148:P211" si="356">($R$5/$R$7)*T147</f>
        <v>249.1542000861381</v>
      </c>
      <c r="Q148" s="158"/>
      <c r="R148" s="157">
        <f t="shared" si="169"/>
        <v>796.67688199070165</v>
      </c>
      <c r="S148" s="158"/>
      <c r="T148" s="216">
        <f t="shared" si="170"/>
        <v>156563.87054083336</v>
      </c>
      <c r="U148" s="217"/>
    </row>
    <row r="149" spans="12:21" x14ac:dyDescent="0.35">
      <c r="L149" s="165">
        <v>47119</v>
      </c>
      <c r="M149" s="166"/>
      <c r="N149" s="157">
        <f t="shared" si="355"/>
        <v>1045.8310820768397</v>
      </c>
      <c r="O149" s="158"/>
      <c r="P149" s="216">
        <f t="shared" si="356"/>
        <v>247.89279502298615</v>
      </c>
      <c r="Q149" s="158"/>
      <c r="R149" s="157">
        <f t="shared" ref="R149:R212" si="357">N149-P149</f>
        <v>797.93828705385363</v>
      </c>
      <c r="S149" s="158"/>
      <c r="T149" s="216">
        <f t="shared" ref="T149:T212" si="358">T148-R149</f>
        <v>155765.93225377952</v>
      </c>
      <c r="U149" s="217"/>
    </row>
    <row r="150" spans="12:21" x14ac:dyDescent="0.35">
      <c r="L150" s="235">
        <v>47150</v>
      </c>
      <c r="M150" s="236"/>
      <c r="N150" s="157">
        <f t="shared" si="355"/>
        <v>1045.8310820768397</v>
      </c>
      <c r="O150" s="158"/>
      <c r="P150" s="216">
        <f t="shared" si="356"/>
        <v>246.6293927351509</v>
      </c>
      <c r="Q150" s="158"/>
      <c r="R150" s="157">
        <f t="shared" si="357"/>
        <v>799.20168934168885</v>
      </c>
      <c r="S150" s="158"/>
      <c r="T150" s="216">
        <f t="shared" si="358"/>
        <v>154966.73056443784</v>
      </c>
      <c r="U150" s="217"/>
    </row>
    <row r="151" spans="12:21" x14ac:dyDescent="0.35">
      <c r="L151" s="165">
        <v>47178</v>
      </c>
      <c r="M151" s="166"/>
      <c r="N151" s="157">
        <f t="shared" si="355"/>
        <v>1045.8310820768397</v>
      </c>
      <c r="O151" s="158"/>
      <c r="P151" s="216">
        <f t="shared" si="356"/>
        <v>245.3639900603599</v>
      </c>
      <c r="Q151" s="158"/>
      <c r="R151" s="157">
        <f t="shared" si="357"/>
        <v>800.4670920164798</v>
      </c>
      <c r="S151" s="158"/>
      <c r="T151" s="216">
        <f t="shared" si="358"/>
        <v>154166.26347242136</v>
      </c>
      <c r="U151" s="217"/>
    </row>
    <row r="152" spans="12:21" x14ac:dyDescent="0.35">
      <c r="L152" s="235">
        <v>47209</v>
      </c>
      <c r="M152" s="236"/>
      <c r="N152" s="157">
        <f t="shared" si="355"/>
        <v>1045.8310820768397</v>
      </c>
      <c r="O152" s="158"/>
      <c r="P152" s="216">
        <f t="shared" si="356"/>
        <v>244.09658383133382</v>
      </c>
      <c r="Q152" s="158"/>
      <c r="R152" s="157">
        <f t="shared" si="357"/>
        <v>801.73449824550585</v>
      </c>
      <c r="S152" s="158"/>
      <c r="T152" s="216">
        <f t="shared" si="358"/>
        <v>153364.52897417586</v>
      </c>
      <c r="U152" s="217"/>
    </row>
    <row r="153" spans="12:21" x14ac:dyDescent="0.35">
      <c r="L153" s="165">
        <v>47239</v>
      </c>
      <c r="M153" s="166"/>
      <c r="N153" s="157">
        <f t="shared" si="355"/>
        <v>1045.8310820768397</v>
      </c>
      <c r="O153" s="158"/>
      <c r="P153" s="216">
        <f t="shared" si="356"/>
        <v>242.82717087577845</v>
      </c>
      <c r="Q153" s="158"/>
      <c r="R153" s="157">
        <f t="shared" si="357"/>
        <v>803.00391120106133</v>
      </c>
      <c r="S153" s="158"/>
      <c r="T153" s="216">
        <f t="shared" si="358"/>
        <v>152561.5250629748</v>
      </c>
      <c r="U153" s="217"/>
    </row>
    <row r="154" spans="12:21" x14ac:dyDescent="0.35">
      <c r="L154" s="235">
        <v>47270</v>
      </c>
      <c r="M154" s="236"/>
      <c r="N154" s="157">
        <f t="shared" si="355"/>
        <v>1045.8310820768397</v>
      </c>
      <c r="O154" s="158"/>
      <c r="P154" s="216">
        <f t="shared" si="356"/>
        <v>241.55574801637675</v>
      </c>
      <c r="Q154" s="158"/>
      <c r="R154" s="157">
        <f t="shared" si="357"/>
        <v>804.27533406046291</v>
      </c>
      <c r="S154" s="158"/>
      <c r="T154" s="216">
        <f t="shared" si="358"/>
        <v>151757.24972891435</v>
      </c>
      <c r="U154" s="217"/>
    </row>
    <row r="155" spans="12:21" x14ac:dyDescent="0.35">
      <c r="L155" s="165">
        <v>47300</v>
      </c>
      <c r="M155" s="166"/>
      <c r="N155" s="157">
        <f t="shared" si="355"/>
        <v>1045.8310820768397</v>
      </c>
      <c r="O155" s="158"/>
      <c r="P155" s="216">
        <f t="shared" si="356"/>
        <v>240.28231207078105</v>
      </c>
      <c r="Q155" s="158"/>
      <c r="R155" s="157">
        <f t="shared" si="357"/>
        <v>805.5487700060587</v>
      </c>
      <c r="S155" s="158"/>
      <c r="T155" s="216">
        <f t="shared" si="358"/>
        <v>150951.7009589083</v>
      </c>
      <c r="U155" s="217"/>
    </row>
    <row r="156" spans="12:21" x14ac:dyDescent="0.35">
      <c r="L156" s="235">
        <v>47331</v>
      </c>
      <c r="M156" s="236"/>
      <c r="N156" s="157">
        <f t="shared" si="355"/>
        <v>1045.8310820768397</v>
      </c>
      <c r="O156" s="158"/>
      <c r="P156" s="216">
        <f t="shared" si="356"/>
        <v>239.00685985160482</v>
      </c>
      <c r="Q156" s="158"/>
      <c r="R156" s="157">
        <f t="shared" si="357"/>
        <v>806.82422222523496</v>
      </c>
      <c r="S156" s="158"/>
      <c r="T156" s="216">
        <f t="shared" si="358"/>
        <v>150144.87673668307</v>
      </c>
      <c r="U156" s="217"/>
    </row>
    <row r="157" spans="12:21" x14ac:dyDescent="0.35">
      <c r="L157" s="165">
        <v>47362</v>
      </c>
      <c r="M157" s="166"/>
      <c r="N157" s="157">
        <f t="shared" si="355"/>
        <v>1045.8310820768397</v>
      </c>
      <c r="O157" s="158"/>
      <c r="P157" s="216">
        <f t="shared" si="356"/>
        <v>237.72938816641485</v>
      </c>
      <c r="Q157" s="158"/>
      <c r="R157" s="157">
        <f t="shared" si="357"/>
        <v>808.10169391042484</v>
      </c>
      <c r="S157" s="158"/>
      <c r="T157" s="216">
        <f t="shared" si="358"/>
        <v>149336.77504277264</v>
      </c>
      <c r="U157" s="217"/>
    </row>
    <row r="158" spans="12:21" x14ac:dyDescent="0.35">
      <c r="L158" s="235">
        <v>47392</v>
      </c>
      <c r="M158" s="236"/>
      <c r="N158" s="157">
        <f t="shared" si="355"/>
        <v>1045.8310820768397</v>
      </c>
      <c r="O158" s="158"/>
      <c r="P158" s="216">
        <f t="shared" si="356"/>
        <v>236.44989381772334</v>
      </c>
      <c r="Q158" s="158"/>
      <c r="R158" s="157">
        <f t="shared" si="357"/>
        <v>809.38118825911636</v>
      </c>
      <c r="S158" s="158"/>
      <c r="T158" s="216">
        <f t="shared" si="358"/>
        <v>148527.39385451353</v>
      </c>
      <c r="U158" s="217"/>
    </row>
    <row r="159" spans="12:21" x14ac:dyDescent="0.35">
      <c r="L159" s="165">
        <v>47423</v>
      </c>
      <c r="M159" s="166"/>
      <c r="N159" s="157">
        <f t="shared" si="355"/>
        <v>1045.8310820768397</v>
      </c>
      <c r="O159" s="158"/>
      <c r="P159" s="216">
        <f t="shared" si="356"/>
        <v>235.16837360297976</v>
      </c>
      <c r="Q159" s="158"/>
      <c r="R159" s="157">
        <f t="shared" si="357"/>
        <v>810.66270847385999</v>
      </c>
      <c r="S159" s="158"/>
      <c r="T159" s="216">
        <f t="shared" si="358"/>
        <v>147716.73114603967</v>
      </c>
      <c r="U159" s="217"/>
    </row>
    <row r="160" spans="12:21" x14ac:dyDescent="0.35">
      <c r="L160" s="235">
        <v>47453</v>
      </c>
      <c r="M160" s="236"/>
      <c r="N160" s="157">
        <f t="shared" si="355"/>
        <v>1045.8310820768397</v>
      </c>
      <c r="O160" s="158"/>
      <c r="P160" s="216">
        <f t="shared" si="356"/>
        <v>233.88482431456282</v>
      </c>
      <c r="Q160" s="158"/>
      <c r="R160" s="157">
        <f t="shared" si="357"/>
        <v>811.9462577622769</v>
      </c>
      <c r="S160" s="158"/>
      <c r="T160" s="216">
        <f t="shared" si="358"/>
        <v>146904.78488827738</v>
      </c>
      <c r="U160" s="217"/>
    </row>
    <row r="161" spans="12:21" x14ac:dyDescent="0.35">
      <c r="L161" s="165">
        <v>47484</v>
      </c>
      <c r="M161" s="166"/>
      <c r="N161" s="157">
        <f t="shared" si="355"/>
        <v>1045.8310820768397</v>
      </c>
      <c r="O161" s="158"/>
      <c r="P161" s="216">
        <f t="shared" si="356"/>
        <v>232.59924273977251</v>
      </c>
      <c r="Q161" s="158"/>
      <c r="R161" s="157">
        <f t="shared" si="357"/>
        <v>813.23183933706719</v>
      </c>
      <c r="S161" s="158"/>
      <c r="T161" s="216">
        <f t="shared" si="358"/>
        <v>146091.55304894032</v>
      </c>
      <c r="U161" s="217"/>
    </row>
    <row r="162" spans="12:21" x14ac:dyDescent="0.35">
      <c r="L162" s="235">
        <v>47515</v>
      </c>
      <c r="M162" s="236"/>
      <c r="N162" s="157">
        <f t="shared" si="355"/>
        <v>1045.8310820768397</v>
      </c>
      <c r="O162" s="158"/>
      <c r="P162" s="216">
        <f t="shared" si="356"/>
        <v>231.31162566082216</v>
      </c>
      <c r="Q162" s="158"/>
      <c r="R162" s="157">
        <f t="shared" si="357"/>
        <v>814.51945641601753</v>
      </c>
      <c r="S162" s="158"/>
      <c r="T162" s="216">
        <f t="shared" si="358"/>
        <v>145277.0335925243</v>
      </c>
      <c r="U162" s="217"/>
    </row>
    <row r="163" spans="12:21" x14ac:dyDescent="0.35">
      <c r="L163" s="165">
        <v>47543</v>
      </c>
      <c r="M163" s="166"/>
      <c r="N163" s="157">
        <f t="shared" si="355"/>
        <v>1045.8310820768397</v>
      </c>
      <c r="O163" s="158"/>
      <c r="P163" s="216">
        <f t="shared" si="356"/>
        <v>230.02196985483013</v>
      </c>
      <c r="Q163" s="158"/>
      <c r="R163" s="157">
        <f t="shared" si="357"/>
        <v>815.80911222200962</v>
      </c>
      <c r="S163" s="158"/>
      <c r="T163" s="216">
        <f t="shared" si="358"/>
        <v>144461.22448030228</v>
      </c>
      <c r="U163" s="217"/>
    </row>
    <row r="164" spans="12:21" x14ac:dyDescent="0.35">
      <c r="L164" s="235">
        <v>47574</v>
      </c>
      <c r="M164" s="236"/>
      <c r="N164" s="157">
        <f t="shared" si="355"/>
        <v>1045.8310820768397</v>
      </c>
      <c r="O164" s="158"/>
      <c r="P164" s="216">
        <f t="shared" si="356"/>
        <v>228.73027209381192</v>
      </c>
      <c r="Q164" s="158"/>
      <c r="R164" s="157">
        <f t="shared" si="357"/>
        <v>817.10080998302783</v>
      </c>
      <c r="S164" s="158"/>
      <c r="T164" s="216">
        <f t="shared" si="358"/>
        <v>143644.12367031924</v>
      </c>
      <c r="U164" s="217"/>
    </row>
    <row r="165" spans="12:21" x14ac:dyDescent="0.35">
      <c r="L165" s="165">
        <v>47604</v>
      </c>
      <c r="M165" s="166"/>
      <c r="N165" s="157">
        <f t="shared" si="355"/>
        <v>1045.8310820768397</v>
      </c>
      <c r="O165" s="158"/>
      <c r="P165" s="216">
        <f t="shared" si="356"/>
        <v>227.43652914467214</v>
      </c>
      <c r="Q165" s="158"/>
      <c r="R165" s="157">
        <f t="shared" si="357"/>
        <v>818.39455293216758</v>
      </c>
      <c r="S165" s="158"/>
      <c r="T165" s="216">
        <f t="shared" si="358"/>
        <v>142825.72911738706</v>
      </c>
      <c r="U165" s="217"/>
    </row>
    <row r="166" spans="12:21" x14ac:dyDescent="0.35">
      <c r="L166" s="235">
        <v>47635</v>
      </c>
      <c r="M166" s="236"/>
      <c r="N166" s="157">
        <f t="shared" si="355"/>
        <v>1045.8310820768397</v>
      </c>
      <c r="O166" s="158"/>
      <c r="P166" s="216">
        <f t="shared" si="356"/>
        <v>226.14073776919616</v>
      </c>
      <c r="Q166" s="158"/>
      <c r="R166" s="157">
        <f t="shared" si="357"/>
        <v>819.6903443076435</v>
      </c>
      <c r="S166" s="158"/>
      <c r="T166" s="216">
        <f t="shared" si="358"/>
        <v>142006.03877307943</v>
      </c>
      <c r="U166" s="217"/>
    </row>
    <row r="167" spans="12:21" x14ac:dyDescent="0.35">
      <c r="L167" s="165">
        <v>47665</v>
      </c>
      <c r="M167" s="166"/>
      <c r="N167" s="157">
        <f t="shared" si="355"/>
        <v>1045.8310820768397</v>
      </c>
      <c r="O167" s="158"/>
      <c r="P167" s="216">
        <f t="shared" si="356"/>
        <v>224.84289472404242</v>
      </c>
      <c r="Q167" s="158"/>
      <c r="R167" s="157">
        <f t="shared" si="357"/>
        <v>820.98818735279724</v>
      </c>
      <c r="S167" s="158"/>
      <c r="T167" s="216">
        <f t="shared" si="358"/>
        <v>141185.05058572663</v>
      </c>
      <c r="U167" s="217"/>
    </row>
    <row r="168" spans="12:21" x14ac:dyDescent="0.35">
      <c r="L168" s="235">
        <v>47696</v>
      </c>
      <c r="M168" s="236"/>
      <c r="N168" s="157">
        <f t="shared" si="355"/>
        <v>1045.8310820768397</v>
      </c>
      <c r="O168" s="158"/>
      <c r="P168" s="216">
        <f t="shared" si="356"/>
        <v>223.54299676073381</v>
      </c>
      <c r="Q168" s="158"/>
      <c r="R168" s="157">
        <f t="shared" si="357"/>
        <v>822.28808531610593</v>
      </c>
      <c r="S168" s="158"/>
      <c r="T168" s="216">
        <f t="shared" si="358"/>
        <v>140362.76250041052</v>
      </c>
      <c r="U168" s="217"/>
    </row>
    <row r="169" spans="12:21" x14ac:dyDescent="0.35">
      <c r="L169" s="165">
        <v>47727</v>
      </c>
      <c r="M169" s="166"/>
      <c r="N169" s="157">
        <f t="shared" si="355"/>
        <v>1045.8310820768397</v>
      </c>
      <c r="O169" s="158"/>
      <c r="P169" s="216">
        <f t="shared" si="356"/>
        <v>222.24104062564999</v>
      </c>
      <c r="Q169" s="158"/>
      <c r="R169" s="157">
        <f t="shared" si="357"/>
        <v>823.59004145118979</v>
      </c>
      <c r="S169" s="158"/>
      <c r="T169" s="216">
        <f t="shared" si="358"/>
        <v>139539.17245895934</v>
      </c>
      <c r="U169" s="217"/>
    </row>
    <row r="170" spans="12:21" x14ac:dyDescent="0.35">
      <c r="L170" s="235">
        <v>47757</v>
      </c>
      <c r="M170" s="236"/>
      <c r="N170" s="157">
        <f t="shared" si="355"/>
        <v>1045.8310820768397</v>
      </c>
      <c r="O170" s="158"/>
      <c r="P170" s="216">
        <f t="shared" si="356"/>
        <v>220.93702306001893</v>
      </c>
      <c r="Q170" s="158"/>
      <c r="R170" s="157">
        <f t="shared" si="357"/>
        <v>824.89405901682085</v>
      </c>
      <c r="S170" s="158"/>
      <c r="T170" s="216">
        <f t="shared" si="358"/>
        <v>138714.2783999425</v>
      </c>
      <c r="U170" s="217"/>
    </row>
    <row r="171" spans="12:21" x14ac:dyDescent="0.35">
      <c r="L171" s="165">
        <v>47788</v>
      </c>
      <c r="M171" s="166"/>
      <c r="N171" s="157">
        <f t="shared" si="355"/>
        <v>1045.8310820768397</v>
      </c>
      <c r="O171" s="158"/>
      <c r="P171" s="216">
        <f t="shared" si="356"/>
        <v>219.63094079990896</v>
      </c>
      <c r="Q171" s="158"/>
      <c r="R171" s="157">
        <f t="shared" si="357"/>
        <v>826.20014127693071</v>
      </c>
      <c r="S171" s="158"/>
      <c r="T171" s="216">
        <f t="shared" si="358"/>
        <v>137888.07825866557</v>
      </c>
      <c r="U171" s="217"/>
    </row>
    <row r="172" spans="12:21" x14ac:dyDescent="0.35">
      <c r="L172" s="235">
        <v>47818</v>
      </c>
      <c r="M172" s="236"/>
      <c r="N172" s="157">
        <f t="shared" si="355"/>
        <v>1045.8310820768397</v>
      </c>
      <c r="O172" s="158"/>
      <c r="P172" s="216">
        <f t="shared" si="356"/>
        <v>218.32279057622048</v>
      </c>
      <c r="Q172" s="158"/>
      <c r="R172" s="157">
        <f t="shared" si="357"/>
        <v>827.50829150061918</v>
      </c>
      <c r="S172" s="158"/>
      <c r="T172" s="216">
        <f t="shared" si="358"/>
        <v>137060.56996716495</v>
      </c>
      <c r="U172" s="217"/>
    </row>
    <row r="173" spans="12:21" x14ac:dyDescent="0.35">
      <c r="L173" s="165">
        <v>47849</v>
      </c>
      <c r="M173" s="166"/>
      <c r="N173" s="157">
        <f t="shared" si="355"/>
        <v>1045.8310820768397</v>
      </c>
      <c r="O173" s="158"/>
      <c r="P173" s="216">
        <f t="shared" si="356"/>
        <v>217.01256911467783</v>
      </c>
      <c r="Q173" s="158"/>
      <c r="R173" s="157">
        <f t="shared" si="357"/>
        <v>828.81851296216189</v>
      </c>
      <c r="S173" s="158"/>
      <c r="T173" s="216">
        <f t="shared" si="358"/>
        <v>136231.75145420278</v>
      </c>
      <c r="U173" s="217"/>
    </row>
    <row r="174" spans="12:21" x14ac:dyDescent="0.35">
      <c r="L174" s="235">
        <v>47880</v>
      </c>
      <c r="M174" s="236"/>
      <c r="N174" s="157">
        <f t="shared" si="355"/>
        <v>1045.8310820768397</v>
      </c>
      <c r="O174" s="158"/>
      <c r="P174" s="216">
        <f t="shared" si="356"/>
        <v>215.70027313582105</v>
      </c>
      <c r="Q174" s="158"/>
      <c r="R174" s="157">
        <f t="shared" si="357"/>
        <v>830.1308089410187</v>
      </c>
      <c r="S174" s="158"/>
      <c r="T174" s="216">
        <f t="shared" si="358"/>
        <v>135401.62064526175</v>
      </c>
      <c r="U174" s="217"/>
    </row>
    <row r="175" spans="12:21" x14ac:dyDescent="0.35">
      <c r="L175" s="165">
        <v>47908</v>
      </c>
      <c r="M175" s="166"/>
      <c r="N175" s="157">
        <f t="shared" si="355"/>
        <v>1045.8310820768397</v>
      </c>
      <c r="O175" s="158"/>
      <c r="P175" s="216">
        <f t="shared" si="356"/>
        <v>214.38589935499778</v>
      </c>
      <c r="Q175" s="158"/>
      <c r="R175" s="157">
        <f t="shared" si="357"/>
        <v>831.445182721842</v>
      </c>
      <c r="S175" s="158"/>
      <c r="T175" s="216">
        <f t="shared" si="358"/>
        <v>134570.17546253992</v>
      </c>
      <c r="U175" s="217"/>
    </row>
    <row r="176" spans="12:21" x14ac:dyDescent="0.35">
      <c r="L176" s="235">
        <v>47939</v>
      </c>
      <c r="M176" s="236"/>
      <c r="N176" s="157">
        <f t="shared" si="355"/>
        <v>1045.8310820768397</v>
      </c>
      <c r="O176" s="158"/>
      <c r="P176" s="216">
        <f t="shared" si="356"/>
        <v>213.06944448235487</v>
      </c>
      <c r="Q176" s="158"/>
      <c r="R176" s="157">
        <f t="shared" si="357"/>
        <v>832.76163759448491</v>
      </c>
      <c r="S176" s="158"/>
      <c r="T176" s="216">
        <f t="shared" si="358"/>
        <v>133737.41382494543</v>
      </c>
      <c r="U176" s="217"/>
    </row>
    <row r="177" spans="12:21" x14ac:dyDescent="0.35">
      <c r="L177" s="165">
        <v>47969</v>
      </c>
      <c r="M177" s="166"/>
      <c r="N177" s="157">
        <f t="shared" si="355"/>
        <v>1045.8310820768397</v>
      </c>
      <c r="O177" s="158"/>
      <c r="P177" s="216">
        <f t="shared" si="356"/>
        <v>211.75090522283026</v>
      </c>
      <c r="Q177" s="158"/>
      <c r="R177" s="157">
        <f t="shared" si="357"/>
        <v>834.08017685400944</v>
      </c>
      <c r="S177" s="158"/>
      <c r="T177" s="216">
        <f t="shared" si="358"/>
        <v>132903.33364809141</v>
      </c>
      <c r="U177" s="217"/>
    </row>
    <row r="178" spans="12:21" x14ac:dyDescent="0.35">
      <c r="L178" s="235">
        <v>48000</v>
      </c>
      <c r="M178" s="236"/>
      <c r="N178" s="157">
        <f t="shared" si="355"/>
        <v>1045.8310820768397</v>
      </c>
      <c r="O178" s="158"/>
      <c r="P178" s="216">
        <f t="shared" si="356"/>
        <v>210.43027827614475</v>
      </c>
      <c r="Q178" s="158"/>
      <c r="R178" s="157">
        <f t="shared" si="357"/>
        <v>835.40080380069503</v>
      </c>
      <c r="S178" s="158"/>
      <c r="T178" s="216">
        <f t="shared" si="358"/>
        <v>132067.93284429071</v>
      </c>
      <c r="U178" s="217"/>
    </row>
    <row r="179" spans="12:21" x14ac:dyDescent="0.35">
      <c r="L179" s="165">
        <v>48030</v>
      </c>
      <c r="M179" s="166"/>
      <c r="N179" s="157">
        <f t="shared" si="355"/>
        <v>1045.8310820768397</v>
      </c>
      <c r="O179" s="158"/>
      <c r="P179" s="216">
        <f t="shared" si="356"/>
        <v>209.10756033679363</v>
      </c>
      <c r="Q179" s="158"/>
      <c r="R179" s="157">
        <f t="shared" si="357"/>
        <v>836.72352174004607</v>
      </c>
      <c r="S179" s="158"/>
      <c r="T179" s="216">
        <f t="shared" si="358"/>
        <v>131231.20932255065</v>
      </c>
      <c r="U179" s="217"/>
    </row>
    <row r="180" spans="12:21" x14ac:dyDescent="0.35">
      <c r="L180" s="235">
        <v>48061</v>
      </c>
      <c r="M180" s="236"/>
      <c r="N180" s="157">
        <f t="shared" si="355"/>
        <v>1045.8310820768397</v>
      </c>
      <c r="O180" s="158"/>
      <c r="P180" s="216">
        <f t="shared" si="356"/>
        <v>207.78274809403854</v>
      </c>
      <c r="Q180" s="158"/>
      <c r="R180" s="157">
        <f t="shared" si="357"/>
        <v>838.04833398280118</v>
      </c>
      <c r="S180" s="158"/>
      <c r="T180" s="216">
        <f t="shared" si="358"/>
        <v>130393.16098856785</v>
      </c>
      <c r="U180" s="217"/>
    </row>
    <row r="181" spans="12:21" x14ac:dyDescent="0.35">
      <c r="L181" s="165">
        <v>48092</v>
      </c>
      <c r="M181" s="166"/>
      <c r="N181" s="157">
        <f t="shared" si="355"/>
        <v>1045.8310820768397</v>
      </c>
      <c r="O181" s="158"/>
      <c r="P181" s="216">
        <f t="shared" si="356"/>
        <v>206.45583823189909</v>
      </c>
      <c r="Q181" s="158"/>
      <c r="R181" s="157">
        <f t="shared" si="357"/>
        <v>839.37524384494066</v>
      </c>
      <c r="S181" s="158"/>
      <c r="T181" s="216">
        <f t="shared" si="358"/>
        <v>129553.7857447229</v>
      </c>
      <c r="U181" s="217"/>
    </row>
    <row r="182" spans="12:21" x14ac:dyDescent="0.35">
      <c r="L182" s="235">
        <v>48122</v>
      </c>
      <c r="M182" s="236"/>
      <c r="N182" s="157">
        <f t="shared" si="355"/>
        <v>1045.8310820768397</v>
      </c>
      <c r="O182" s="158"/>
      <c r="P182" s="216">
        <f t="shared" si="356"/>
        <v>205.12682742914458</v>
      </c>
      <c r="Q182" s="158"/>
      <c r="R182" s="157">
        <f t="shared" si="357"/>
        <v>840.70425464769517</v>
      </c>
      <c r="S182" s="158"/>
      <c r="T182" s="216">
        <f t="shared" si="358"/>
        <v>128713.0814900752</v>
      </c>
      <c r="U182" s="217"/>
    </row>
    <row r="183" spans="12:21" x14ac:dyDescent="0.35">
      <c r="L183" s="165">
        <v>48153</v>
      </c>
      <c r="M183" s="166"/>
      <c r="N183" s="157">
        <f t="shared" si="355"/>
        <v>1045.8310820768397</v>
      </c>
      <c r="O183" s="158"/>
      <c r="P183" s="216">
        <f t="shared" si="356"/>
        <v>203.79571235928574</v>
      </c>
      <c r="Q183" s="158"/>
      <c r="R183" s="157">
        <f t="shared" si="357"/>
        <v>842.03536971755398</v>
      </c>
      <c r="S183" s="158"/>
      <c r="T183" s="216">
        <f t="shared" si="358"/>
        <v>127871.04612035764</v>
      </c>
      <c r="U183" s="217"/>
    </row>
    <row r="184" spans="12:21" x14ac:dyDescent="0.35">
      <c r="L184" s="235">
        <v>48183</v>
      </c>
      <c r="M184" s="236"/>
      <c r="N184" s="157">
        <f t="shared" si="355"/>
        <v>1045.8310820768397</v>
      </c>
      <c r="O184" s="158"/>
      <c r="P184" s="216">
        <f t="shared" si="356"/>
        <v>202.46248969056626</v>
      </c>
      <c r="Q184" s="158"/>
      <c r="R184" s="157">
        <f t="shared" si="357"/>
        <v>843.36859238627346</v>
      </c>
      <c r="S184" s="158"/>
      <c r="T184" s="216">
        <f t="shared" si="358"/>
        <v>127027.67752797136</v>
      </c>
      <c r="U184" s="217"/>
    </row>
    <row r="185" spans="12:21" x14ac:dyDescent="0.35">
      <c r="L185" s="165">
        <v>48214</v>
      </c>
      <c r="M185" s="166"/>
      <c r="N185" s="157">
        <f t="shared" si="355"/>
        <v>1045.8310820768397</v>
      </c>
      <c r="O185" s="158"/>
      <c r="P185" s="216">
        <f t="shared" si="356"/>
        <v>201.12715608595465</v>
      </c>
      <c r="Q185" s="158"/>
      <c r="R185" s="157">
        <f t="shared" si="357"/>
        <v>844.70392599088507</v>
      </c>
      <c r="S185" s="158"/>
      <c r="T185" s="216">
        <f t="shared" si="358"/>
        <v>126182.97360198048</v>
      </c>
      <c r="U185" s="217"/>
    </row>
    <row r="186" spans="12:21" x14ac:dyDescent="0.35">
      <c r="L186" s="235">
        <v>48245</v>
      </c>
      <c r="M186" s="236"/>
      <c r="N186" s="157">
        <f t="shared" si="355"/>
        <v>1045.8310820768397</v>
      </c>
      <c r="O186" s="158"/>
      <c r="P186" s="216">
        <f t="shared" si="356"/>
        <v>199.78970820313577</v>
      </c>
      <c r="Q186" s="158"/>
      <c r="R186" s="157">
        <f t="shared" si="357"/>
        <v>846.04137387370395</v>
      </c>
      <c r="S186" s="158"/>
      <c r="T186" s="216">
        <f t="shared" si="358"/>
        <v>125336.93222810679</v>
      </c>
      <c r="U186" s="217"/>
    </row>
    <row r="187" spans="12:21" x14ac:dyDescent="0.35">
      <c r="L187" s="165">
        <v>48274</v>
      </c>
      <c r="M187" s="166"/>
      <c r="N187" s="157">
        <f t="shared" si="355"/>
        <v>1045.8310820768397</v>
      </c>
      <c r="O187" s="158"/>
      <c r="P187" s="216">
        <f t="shared" si="356"/>
        <v>198.4501426945024</v>
      </c>
      <c r="Q187" s="158"/>
      <c r="R187" s="157">
        <f t="shared" si="357"/>
        <v>847.38093938233737</v>
      </c>
      <c r="S187" s="158"/>
      <c r="T187" s="216">
        <f t="shared" si="358"/>
        <v>124489.55128872445</v>
      </c>
      <c r="U187" s="217"/>
    </row>
    <row r="188" spans="12:21" x14ac:dyDescent="0.35">
      <c r="L188" s="235">
        <v>48305</v>
      </c>
      <c r="M188" s="236"/>
      <c r="N188" s="157">
        <f t="shared" si="355"/>
        <v>1045.8310820768397</v>
      </c>
      <c r="O188" s="158"/>
      <c r="P188" s="216">
        <f t="shared" si="356"/>
        <v>197.10845620714704</v>
      </c>
      <c r="Q188" s="158"/>
      <c r="R188" s="157">
        <f t="shared" si="357"/>
        <v>848.72262586969271</v>
      </c>
      <c r="S188" s="158"/>
      <c r="T188" s="216">
        <f t="shared" si="358"/>
        <v>123640.82866285476</v>
      </c>
      <c r="U188" s="217"/>
    </row>
    <row r="189" spans="12:21" x14ac:dyDescent="0.35">
      <c r="L189" s="165">
        <v>48335</v>
      </c>
      <c r="M189" s="166"/>
      <c r="N189" s="157">
        <f t="shared" si="355"/>
        <v>1045.8310820768397</v>
      </c>
      <c r="O189" s="158"/>
      <c r="P189" s="216">
        <f t="shared" si="356"/>
        <v>195.76464538285336</v>
      </c>
      <c r="Q189" s="158"/>
      <c r="R189" s="157">
        <f t="shared" si="357"/>
        <v>850.06643669398636</v>
      </c>
      <c r="S189" s="158"/>
      <c r="T189" s="216">
        <f t="shared" si="358"/>
        <v>122790.76222616078</v>
      </c>
      <c r="U189" s="217"/>
    </row>
    <row r="190" spans="12:21" x14ac:dyDescent="0.35">
      <c r="L190" s="235">
        <v>48366</v>
      </c>
      <c r="M190" s="236"/>
      <c r="N190" s="157">
        <f t="shared" si="355"/>
        <v>1045.8310820768397</v>
      </c>
      <c r="O190" s="158"/>
      <c r="P190" s="216">
        <f t="shared" si="356"/>
        <v>194.41870685808789</v>
      </c>
      <c r="Q190" s="158"/>
      <c r="R190" s="157">
        <f t="shared" si="357"/>
        <v>851.41237521875178</v>
      </c>
      <c r="S190" s="158"/>
      <c r="T190" s="216">
        <f t="shared" si="358"/>
        <v>121939.34985094202</v>
      </c>
      <c r="U190" s="217"/>
    </row>
    <row r="191" spans="12:21" x14ac:dyDescent="0.35">
      <c r="L191" s="165">
        <v>48396</v>
      </c>
      <c r="M191" s="166"/>
      <c r="N191" s="157">
        <f t="shared" si="355"/>
        <v>1045.8310820768397</v>
      </c>
      <c r="O191" s="158"/>
      <c r="P191" s="216">
        <f t="shared" si="356"/>
        <v>193.07063726399153</v>
      </c>
      <c r="Q191" s="158"/>
      <c r="R191" s="157">
        <f t="shared" si="357"/>
        <v>852.76044481284816</v>
      </c>
      <c r="S191" s="158"/>
      <c r="T191" s="216">
        <f t="shared" si="358"/>
        <v>121086.58940612916</v>
      </c>
      <c r="U191" s="217"/>
    </row>
    <row r="192" spans="12:21" x14ac:dyDescent="0.35">
      <c r="L192" s="235">
        <v>48427</v>
      </c>
      <c r="M192" s="236"/>
      <c r="N192" s="157">
        <f t="shared" si="355"/>
        <v>1045.8310820768397</v>
      </c>
      <c r="O192" s="158"/>
      <c r="P192" s="216">
        <f t="shared" si="356"/>
        <v>191.72043322637117</v>
      </c>
      <c r="Q192" s="158"/>
      <c r="R192" s="157">
        <f t="shared" si="357"/>
        <v>854.11064885046858</v>
      </c>
      <c r="S192" s="158"/>
      <c r="T192" s="216">
        <f t="shared" si="358"/>
        <v>120232.47875727869</v>
      </c>
      <c r="U192" s="217"/>
    </row>
    <row r="193" spans="12:21" x14ac:dyDescent="0.35">
      <c r="L193" s="165">
        <v>48458</v>
      </c>
      <c r="M193" s="166"/>
      <c r="N193" s="157">
        <f t="shared" si="355"/>
        <v>1045.8310820768397</v>
      </c>
      <c r="O193" s="158"/>
      <c r="P193" s="216">
        <f t="shared" si="356"/>
        <v>190.36809136569124</v>
      </c>
      <c r="Q193" s="158"/>
      <c r="R193" s="157">
        <f t="shared" si="357"/>
        <v>855.46299071114845</v>
      </c>
      <c r="S193" s="158"/>
      <c r="T193" s="216">
        <f t="shared" si="358"/>
        <v>119377.01576656754</v>
      </c>
      <c r="U193" s="217"/>
    </row>
    <row r="194" spans="12:21" x14ac:dyDescent="0.35">
      <c r="L194" s="235">
        <v>48488</v>
      </c>
      <c r="M194" s="236"/>
      <c r="N194" s="157">
        <f t="shared" si="355"/>
        <v>1045.8310820768397</v>
      </c>
      <c r="O194" s="158"/>
      <c r="P194" s="216">
        <f t="shared" si="356"/>
        <v>189.01360829706525</v>
      </c>
      <c r="Q194" s="158"/>
      <c r="R194" s="157">
        <f t="shared" si="357"/>
        <v>856.81747377977445</v>
      </c>
      <c r="S194" s="158"/>
      <c r="T194" s="216">
        <f t="shared" si="358"/>
        <v>118520.19829278777</v>
      </c>
      <c r="U194" s="217"/>
    </row>
    <row r="195" spans="12:21" x14ac:dyDescent="0.35">
      <c r="L195" s="165">
        <v>48519</v>
      </c>
      <c r="M195" s="166"/>
      <c r="N195" s="157">
        <f t="shared" si="355"/>
        <v>1045.8310820768397</v>
      </c>
      <c r="O195" s="158"/>
      <c r="P195" s="216">
        <f t="shared" si="356"/>
        <v>187.65698063024729</v>
      </c>
      <c r="Q195" s="158"/>
      <c r="R195" s="157">
        <f t="shared" si="357"/>
        <v>858.17410144659243</v>
      </c>
      <c r="S195" s="158"/>
      <c r="T195" s="216">
        <f t="shared" si="358"/>
        <v>117662.02419134117</v>
      </c>
      <c r="U195" s="217"/>
    </row>
    <row r="196" spans="12:21" x14ac:dyDescent="0.35">
      <c r="L196" s="235">
        <v>48549</v>
      </c>
      <c r="M196" s="236"/>
      <c r="N196" s="157">
        <f t="shared" si="355"/>
        <v>1045.8310820768397</v>
      </c>
      <c r="O196" s="158"/>
      <c r="P196" s="216">
        <f t="shared" si="356"/>
        <v>186.29820496962353</v>
      </c>
      <c r="Q196" s="158"/>
      <c r="R196" s="157">
        <f t="shared" si="357"/>
        <v>859.53287710721622</v>
      </c>
      <c r="S196" s="158"/>
      <c r="T196" s="216">
        <f t="shared" si="358"/>
        <v>116802.49131423396</v>
      </c>
      <c r="U196" s="217"/>
    </row>
    <row r="197" spans="12:21" x14ac:dyDescent="0.35">
      <c r="L197" s="165">
        <v>48580</v>
      </c>
      <c r="M197" s="166"/>
      <c r="N197" s="157">
        <f t="shared" si="355"/>
        <v>1045.8310820768397</v>
      </c>
      <c r="O197" s="158"/>
      <c r="P197" s="216">
        <f t="shared" si="356"/>
        <v>184.93727791420378</v>
      </c>
      <c r="Q197" s="158"/>
      <c r="R197" s="157">
        <f t="shared" si="357"/>
        <v>860.89380416263589</v>
      </c>
      <c r="S197" s="158"/>
      <c r="T197" s="216">
        <f t="shared" si="358"/>
        <v>115941.59751007133</v>
      </c>
      <c r="U197" s="217"/>
    </row>
    <row r="198" spans="12:21" x14ac:dyDescent="0.35">
      <c r="L198" s="235">
        <v>48611</v>
      </c>
      <c r="M198" s="236"/>
      <c r="N198" s="157">
        <f t="shared" si="355"/>
        <v>1045.8310820768397</v>
      </c>
      <c r="O198" s="158"/>
      <c r="P198" s="216">
        <f t="shared" si="356"/>
        <v>183.57419605761294</v>
      </c>
      <c r="Q198" s="158"/>
      <c r="R198" s="157">
        <f t="shared" si="357"/>
        <v>862.25688601922684</v>
      </c>
      <c r="S198" s="158"/>
      <c r="T198" s="216">
        <f t="shared" si="358"/>
        <v>115079.3406240521</v>
      </c>
      <c r="U198" s="217"/>
    </row>
    <row r="199" spans="12:21" x14ac:dyDescent="0.35">
      <c r="L199" s="165">
        <v>48639</v>
      </c>
      <c r="M199" s="166"/>
      <c r="N199" s="157">
        <f t="shared" si="355"/>
        <v>1045.8310820768397</v>
      </c>
      <c r="O199" s="158"/>
      <c r="P199" s="216">
        <f t="shared" si="356"/>
        <v>182.20895598808249</v>
      </c>
      <c r="Q199" s="158"/>
      <c r="R199" s="157">
        <f t="shared" si="357"/>
        <v>863.62212608875723</v>
      </c>
      <c r="S199" s="158"/>
      <c r="T199" s="216">
        <f t="shared" si="358"/>
        <v>114215.71849796335</v>
      </c>
      <c r="U199" s="217"/>
    </row>
    <row r="200" spans="12:21" x14ac:dyDescent="0.35">
      <c r="L200" s="235">
        <v>48670</v>
      </c>
      <c r="M200" s="236"/>
      <c r="N200" s="157">
        <f t="shared" si="355"/>
        <v>1045.8310820768397</v>
      </c>
      <c r="O200" s="158"/>
      <c r="P200" s="216">
        <f t="shared" si="356"/>
        <v>180.84155428844196</v>
      </c>
      <c r="Q200" s="158"/>
      <c r="R200" s="157">
        <f t="shared" si="357"/>
        <v>864.98952778839771</v>
      </c>
      <c r="S200" s="158"/>
      <c r="T200" s="216">
        <f t="shared" si="358"/>
        <v>113350.72897017495</v>
      </c>
      <c r="U200" s="217"/>
    </row>
    <row r="201" spans="12:21" x14ac:dyDescent="0.35">
      <c r="L201" s="165">
        <v>48700</v>
      </c>
      <c r="M201" s="166"/>
      <c r="N201" s="157">
        <f t="shared" si="355"/>
        <v>1045.8310820768397</v>
      </c>
      <c r="O201" s="158"/>
      <c r="P201" s="216">
        <f t="shared" si="356"/>
        <v>179.47198753611033</v>
      </c>
      <c r="Q201" s="158"/>
      <c r="R201" s="157">
        <f t="shared" si="357"/>
        <v>866.35909454072942</v>
      </c>
      <c r="S201" s="158"/>
      <c r="T201" s="216">
        <f t="shared" si="358"/>
        <v>112484.36987563422</v>
      </c>
      <c r="U201" s="217"/>
    </row>
    <row r="202" spans="12:21" x14ac:dyDescent="0.35">
      <c r="L202" s="235">
        <v>48731</v>
      </c>
      <c r="M202" s="236"/>
      <c r="N202" s="157">
        <f t="shared" si="355"/>
        <v>1045.8310820768397</v>
      </c>
      <c r="O202" s="158"/>
      <c r="P202" s="216">
        <f t="shared" si="356"/>
        <v>178.1002523030875</v>
      </c>
      <c r="Q202" s="158"/>
      <c r="R202" s="157">
        <f t="shared" si="357"/>
        <v>867.73082977375225</v>
      </c>
      <c r="S202" s="158"/>
      <c r="T202" s="216">
        <f t="shared" si="358"/>
        <v>111616.63904586047</v>
      </c>
      <c r="U202" s="217"/>
    </row>
    <row r="203" spans="12:21" x14ac:dyDescent="0.35">
      <c r="L203" s="165">
        <v>48761</v>
      </c>
      <c r="M203" s="166"/>
      <c r="N203" s="157">
        <f t="shared" si="355"/>
        <v>1045.8310820768397</v>
      </c>
      <c r="O203" s="158"/>
      <c r="P203" s="216">
        <f t="shared" si="356"/>
        <v>176.72634515594575</v>
      </c>
      <c r="Q203" s="158"/>
      <c r="R203" s="157">
        <f t="shared" si="357"/>
        <v>869.10473692089397</v>
      </c>
      <c r="S203" s="158"/>
      <c r="T203" s="216">
        <f t="shared" si="358"/>
        <v>110747.53430893958</v>
      </c>
      <c r="U203" s="217"/>
    </row>
    <row r="204" spans="12:21" x14ac:dyDescent="0.35">
      <c r="L204" s="235">
        <v>48792</v>
      </c>
      <c r="M204" s="236"/>
      <c r="N204" s="157">
        <f t="shared" si="355"/>
        <v>1045.8310820768397</v>
      </c>
      <c r="O204" s="158"/>
      <c r="P204" s="216">
        <f t="shared" si="356"/>
        <v>175.35026265582098</v>
      </c>
      <c r="Q204" s="158"/>
      <c r="R204" s="157">
        <f t="shared" si="357"/>
        <v>870.48081942101874</v>
      </c>
      <c r="S204" s="158"/>
      <c r="T204" s="216">
        <f t="shared" si="358"/>
        <v>109877.05348951856</v>
      </c>
      <c r="U204" s="217"/>
    </row>
    <row r="205" spans="12:21" x14ac:dyDescent="0.35">
      <c r="L205" s="165">
        <v>48823</v>
      </c>
      <c r="M205" s="166"/>
      <c r="N205" s="157">
        <f t="shared" si="355"/>
        <v>1045.8310820768397</v>
      </c>
      <c r="O205" s="158"/>
      <c r="P205" s="216">
        <f t="shared" si="356"/>
        <v>173.97200135840438</v>
      </c>
      <c r="Q205" s="158"/>
      <c r="R205" s="157">
        <f t="shared" si="357"/>
        <v>871.85908071843528</v>
      </c>
      <c r="S205" s="158"/>
      <c r="T205" s="216">
        <f t="shared" si="358"/>
        <v>109005.19440880012</v>
      </c>
      <c r="U205" s="217"/>
    </row>
    <row r="206" spans="12:21" x14ac:dyDescent="0.35">
      <c r="L206" s="235">
        <v>48853</v>
      </c>
      <c r="M206" s="236"/>
      <c r="N206" s="157">
        <f t="shared" si="355"/>
        <v>1045.8310820768397</v>
      </c>
      <c r="O206" s="158"/>
      <c r="P206" s="216">
        <f t="shared" si="356"/>
        <v>172.59155781393352</v>
      </c>
      <c r="Q206" s="158"/>
      <c r="R206" s="157">
        <f t="shared" si="357"/>
        <v>873.23952426290623</v>
      </c>
      <c r="S206" s="158"/>
      <c r="T206" s="216">
        <f t="shared" si="358"/>
        <v>108131.95488453722</v>
      </c>
      <c r="U206" s="217"/>
    </row>
    <row r="207" spans="12:21" x14ac:dyDescent="0.35">
      <c r="L207" s="165">
        <v>48884</v>
      </c>
      <c r="M207" s="166"/>
      <c r="N207" s="157">
        <f t="shared" si="355"/>
        <v>1045.8310820768397</v>
      </c>
      <c r="O207" s="158"/>
      <c r="P207" s="216">
        <f t="shared" si="356"/>
        <v>171.20892856718393</v>
      </c>
      <c r="Q207" s="158"/>
      <c r="R207" s="157">
        <f t="shared" si="357"/>
        <v>874.62215350965585</v>
      </c>
      <c r="S207" s="158"/>
      <c r="T207" s="216">
        <f t="shared" si="358"/>
        <v>107257.33273102756</v>
      </c>
      <c r="U207" s="217"/>
    </row>
    <row r="208" spans="12:21" x14ac:dyDescent="0.35">
      <c r="L208" s="235">
        <v>48914</v>
      </c>
      <c r="M208" s="236"/>
      <c r="N208" s="157">
        <f t="shared" si="355"/>
        <v>1045.8310820768397</v>
      </c>
      <c r="O208" s="158"/>
      <c r="P208" s="216">
        <f t="shared" si="356"/>
        <v>169.8241101574603</v>
      </c>
      <c r="Q208" s="158"/>
      <c r="R208" s="157">
        <f t="shared" si="357"/>
        <v>876.00697191937945</v>
      </c>
      <c r="S208" s="158"/>
      <c r="T208" s="216">
        <f t="shared" si="358"/>
        <v>106381.32575910818</v>
      </c>
      <c r="U208" s="217"/>
    </row>
    <row r="209" spans="12:21" x14ac:dyDescent="0.35">
      <c r="L209" s="165">
        <v>48945</v>
      </c>
      <c r="M209" s="166"/>
      <c r="N209" s="157">
        <f t="shared" si="355"/>
        <v>1045.8310820768397</v>
      </c>
      <c r="O209" s="158"/>
      <c r="P209" s="216">
        <f t="shared" si="356"/>
        <v>168.43709911858795</v>
      </c>
      <c r="Q209" s="158"/>
      <c r="R209" s="157">
        <f t="shared" si="357"/>
        <v>877.39398295825174</v>
      </c>
      <c r="S209" s="158"/>
      <c r="T209" s="216">
        <f t="shared" si="358"/>
        <v>105503.93177614993</v>
      </c>
      <c r="U209" s="217"/>
    </row>
    <row r="210" spans="12:21" x14ac:dyDescent="0.35">
      <c r="L210" s="235">
        <v>48976</v>
      </c>
      <c r="M210" s="236"/>
      <c r="N210" s="157">
        <f t="shared" si="355"/>
        <v>1045.8310820768397</v>
      </c>
      <c r="O210" s="158"/>
      <c r="P210" s="216">
        <f t="shared" si="356"/>
        <v>167.04789197890403</v>
      </c>
      <c r="Q210" s="158"/>
      <c r="R210" s="157">
        <f t="shared" si="357"/>
        <v>878.78319009793563</v>
      </c>
      <c r="S210" s="158"/>
      <c r="T210" s="216">
        <f t="shared" si="358"/>
        <v>104625.14858605199</v>
      </c>
      <c r="U210" s="217"/>
    </row>
    <row r="211" spans="12:21" x14ac:dyDescent="0.35">
      <c r="L211" s="165">
        <v>49004</v>
      </c>
      <c r="M211" s="166"/>
      <c r="N211" s="157">
        <f t="shared" si="355"/>
        <v>1045.8310820768397</v>
      </c>
      <c r="O211" s="158"/>
      <c r="P211" s="216">
        <f t="shared" si="356"/>
        <v>165.65648526124897</v>
      </c>
      <c r="Q211" s="158"/>
      <c r="R211" s="157">
        <f t="shared" si="357"/>
        <v>880.1745968155908</v>
      </c>
      <c r="S211" s="158"/>
      <c r="T211" s="216">
        <f t="shared" si="358"/>
        <v>103744.9739892364</v>
      </c>
      <c r="U211" s="217"/>
    </row>
    <row r="212" spans="12:21" x14ac:dyDescent="0.35">
      <c r="L212" s="235">
        <v>49035</v>
      </c>
      <c r="M212" s="236"/>
      <c r="N212" s="157">
        <f t="shared" ref="N212:N275" si="359">$R$15</f>
        <v>1045.8310820768397</v>
      </c>
      <c r="O212" s="158"/>
      <c r="P212" s="216">
        <f t="shared" ref="P212:P275" si="360">($R$5/$R$7)*T211</f>
        <v>164.26287548295764</v>
      </c>
      <c r="Q212" s="158"/>
      <c r="R212" s="157">
        <f t="shared" si="357"/>
        <v>881.56820659388211</v>
      </c>
      <c r="S212" s="158"/>
      <c r="T212" s="216">
        <f t="shared" si="358"/>
        <v>102863.40578264251</v>
      </c>
      <c r="U212" s="217"/>
    </row>
    <row r="213" spans="12:21" x14ac:dyDescent="0.35">
      <c r="L213" s="165">
        <v>49065</v>
      </c>
      <c r="M213" s="166"/>
      <c r="N213" s="157">
        <f t="shared" si="359"/>
        <v>1045.8310820768397</v>
      </c>
      <c r="O213" s="158"/>
      <c r="P213" s="216">
        <f t="shared" si="360"/>
        <v>162.86705915585065</v>
      </c>
      <c r="Q213" s="158"/>
      <c r="R213" s="157">
        <f t="shared" ref="R213:R276" si="361">N213-P213</f>
        <v>882.96402292098901</v>
      </c>
      <c r="S213" s="158"/>
      <c r="T213" s="216">
        <f t="shared" ref="T213:T276" si="362">T212-R213</f>
        <v>101980.44175972152</v>
      </c>
      <c r="U213" s="217"/>
    </row>
    <row r="214" spans="12:21" x14ac:dyDescent="0.35">
      <c r="L214" s="235">
        <v>49096</v>
      </c>
      <c r="M214" s="236"/>
      <c r="N214" s="157">
        <f t="shared" si="359"/>
        <v>1045.8310820768397</v>
      </c>
      <c r="O214" s="158"/>
      <c r="P214" s="216">
        <f t="shared" si="360"/>
        <v>161.46903278622574</v>
      </c>
      <c r="Q214" s="158"/>
      <c r="R214" s="157">
        <f t="shared" si="361"/>
        <v>884.36204929061398</v>
      </c>
      <c r="S214" s="158"/>
      <c r="T214" s="216">
        <f t="shared" si="362"/>
        <v>101096.0797104309</v>
      </c>
      <c r="U214" s="217"/>
    </row>
    <row r="215" spans="12:21" x14ac:dyDescent="0.35">
      <c r="L215" s="165">
        <v>49126</v>
      </c>
      <c r="M215" s="166"/>
      <c r="N215" s="157">
        <f t="shared" si="359"/>
        <v>1045.8310820768397</v>
      </c>
      <c r="O215" s="158"/>
      <c r="P215" s="216">
        <f t="shared" si="360"/>
        <v>160.06879287484892</v>
      </c>
      <c r="Q215" s="158"/>
      <c r="R215" s="157">
        <f t="shared" si="361"/>
        <v>885.76228920199082</v>
      </c>
      <c r="S215" s="158"/>
      <c r="T215" s="216">
        <f t="shared" si="362"/>
        <v>100210.31742122892</v>
      </c>
      <c r="U215" s="217"/>
    </row>
    <row r="216" spans="12:21" x14ac:dyDescent="0.35">
      <c r="L216" s="235">
        <v>49157</v>
      </c>
      <c r="M216" s="236"/>
      <c r="N216" s="157">
        <f t="shared" si="359"/>
        <v>1045.8310820768397</v>
      </c>
      <c r="O216" s="158"/>
      <c r="P216" s="216">
        <f t="shared" si="360"/>
        <v>158.66633591694577</v>
      </c>
      <c r="Q216" s="158"/>
      <c r="R216" s="157">
        <f t="shared" si="361"/>
        <v>887.16474615989398</v>
      </c>
      <c r="S216" s="158"/>
      <c r="T216" s="216">
        <f t="shared" si="362"/>
        <v>99323.152675069025</v>
      </c>
      <c r="U216" s="217"/>
    </row>
    <row r="217" spans="12:21" x14ac:dyDescent="0.35">
      <c r="L217" s="165">
        <v>49188</v>
      </c>
      <c r="M217" s="166"/>
      <c r="N217" s="157">
        <f t="shared" si="359"/>
        <v>1045.8310820768397</v>
      </c>
      <c r="O217" s="158"/>
      <c r="P217" s="216">
        <f t="shared" si="360"/>
        <v>157.26165840219261</v>
      </c>
      <c r="Q217" s="158"/>
      <c r="R217" s="157">
        <f t="shared" si="361"/>
        <v>888.56942367464717</v>
      </c>
      <c r="S217" s="158"/>
      <c r="T217" s="216">
        <f t="shared" si="362"/>
        <v>98434.583251394375</v>
      </c>
      <c r="U217" s="217"/>
    </row>
    <row r="218" spans="12:21" x14ac:dyDescent="0.35">
      <c r="L218" s="235">
        <v>49218</v>
      </c>
      <c r="M218" s="236"/>
      <c r="N218" s="157">
        <f t="shared" si="359"/>
        <v>1045.8310820768397</v>
      </c>
      <c r="O218" s="158"/>
      <c r="P218" s="216">
        <f t="shared" si="360"/>
        <v>155.85475681470777</v>
      </c>
      <c r="Q218" s="158"/>
      <c r="R218" s="157">
        <f t="shared" si="361"/>
        <v>889.97632526213192</v>
      </c>
      <c r="S218" s="158"/>
      <c r="T218" s="216">
        <f t="shared" si="362"/>
        <v>97544.606926132241</v>
      </c>
      <c r="U218" s="217"/>
    </row>
    <row r="219" spans="12:21" x14ac:dyDescent="0.35">
      <c r="L219" s="165">
        <v>49249</v>
      </c>
      <c r="M219" s="166"/>
      <c r="N219" s="157">
        <f t="shared" si="359"/>
        <v>1045.8310820768397</v>
      </c>
      <c r="O219" s="158"/>
      <c r="P219" s="216">
        <f t="shared" si="360"/>
        <v>154.4456276330427</v>
      </c>
      <c r="Q219" s="158"/>
      <c r="R219" s="157">
        <f t="shared" si="361"/>
        <v>891.38545444379702</v>
      </c>
      <c r="S219" s="158"/>
      <c r="T219" s="216">
        <f t="shared" si="362"/>
        <v>96653.221471688448</v>
      </c>
      <c r="U219" s="217"/>
    </row>
    <row r="220" spans="12:21" x14ac:dyDescent="0.35">
      <c r="L220" s="235">
        <v>49279</v>
      </c>
      <c r="M220" s="236"/>
      <c r="N220" s="157">
        <f t="shared" si="359"/>
        <v>1045.8310820768397</v>
      </c>
      <c r="O220" s="158"/>
      <c r="P220" s="216">
        <f t="shared" si="360"/>
        <v>153.03426733017338</v>
      </c>
      <c r="Q220" s="158"/>
      <c r="R220" s="157">
        <f t="shared" si="361"/>
        <v>892.79681474666631</v>
      </c>
      <c r="S220" s="158"/>
      <c r="T220" s="216">
        <f t="shared" si="362"/>
        <v>95760.424656941788</v>
      </c>
      <c r="U220" s="217"/>
    </row>
    <row r="221" spans="12:21" x14ac:dyDescent="0.35">
      <c r="L221" s="165">
        <v>49310</v>
      </c>
      <c r="M221" s="166"/>
      <c r="N221" s="157">
        <f t="shared" si="359"/>
        <v>1045.8310820768397</v>
      </c>
      <c r="O221" s="158"/>
      <c r="P221" s="216">
        <f t="shared" si="360"/>
        <v>151.62067237349117</v>
      </c>
      <c r="Q221" s="158"/>
      <c r="R221" s="157">
        <f t="shared" si="361"/>
        <v>894.21040970334855</v>
      </c>
      <c r="S221" s="158"/>
      <c r="T221" s="216">
        <f t="shared" si="362"/>
        <v>94866.214247238444</v>
      </c>
      <c r="U221" s="217"/>
    </row>
    <row r="222" spans="12:21" x14ac:dyDescent="0.35">
      <c r="L222" s="235">
        <v>49341</v>
      </c>
      <c r="M222" s="236"/>
      <c r="N222" s="157">
        <f t="shared" si="359"/>
        <v>1045.8310820768397</v>
      </c>
      <c r="O222" s="158"/>
      <c r="P222" s="216">
        <f t="shared" si="360"/>
        <v>150.2048392247942</v>
      </c>
      <c r="Q222" s="158"/>
      <c r="R222" s="157">
        <f t="shared" si="361"/>
        <v>895.62624285204549</v>
      </c>
      <c r="S222" s="158"/>
      <c r="T222" s="216">
        <f t="shared" si="362"/>
        <v>93970.588004386402</v>
      </c>
      <c r="U222" s="217"/>
    </row>
    <row r="223" spans="12:21" x14ac:dyDescent="0.35">
      <c r="L223" s="165">
        <v>49369</v>
      </c>
      <c r="M223" s="166"/>
      <c r="N223" s="157">
        <f t="shared" si="359"/>
        <v>1045.8310820768397</v>
      </c>
      <c r="O223" s="158"/>
      <c r="P223" s="216">
        <f t="shared" si="360"/>
        <v>148.78676434027847</v>
      </c>
      <c r="Q223" s="158"/>
      <c r="R223" s="157">
        <f t="shared" si="361"/>
        <v>897.0443177365612</v>
      </c>
      <c r="S223" s="158"/>
      <c r="T223" s="216">
        <f t="shared" si="362"/>
        <v>93073.543686649835</v>
      </c>
      <c r="U223" s="217"/>
    </row>
    <row r="224" spans="12:21" x14ac:dyDescent="0.35">
      <c r="L224" s="235">
        <v>49400</v>
      </c>
      <c r="M224" s="236"/>
      <c r="N224" s="157">
        <f t="shared" si="359"/>
        <v>1045.8310820768397</v>
      </c>
      <c r="O224" s="158"/>
      <c r="P224" s="216">
        <f t="shared" si="360"/>
        <v>147.36644417052889</v>
      </c>
      <c r="Q224" s="158"/>
      <c r="R224" s="157">
        <f t="shared" si="361"/>
        <v>898.46463790631083</v>
      </c>
      <c r="S224" s="158"/>
      <c r="T224" s="216">
        <f t="shared" si="362"/>
        <v>92175.07904874353</v>
      </c>
      <c r="U224" s="217"/>
    </row>
    <row r="225" spans="12:21" x14ac:dyDescent="0.35">
      <c r="L225" s="165">
        <v>49430</v>
      </c>
      <c r="M225" s="166"/>
      <c r="N225" s="157">
        <f t="shared" si="359"/>
        <v>1045.8310820768397</v>
      </c>
      <c r="O225" s="158"/>
      <c r="P225" s="216">
        <f t="shared" si="360"/>
        <v>145.94387516051057</v>
      </c>
      <c r="Q225" s="158"/>
      <c r="R225" s="157">
        <f t="shared" si="361"/>
        <v>899.88720691632921</v>
      </c>
      <c r="S225" s="158"/>
      <c r="T225" s="216">
        <f t="shared" si="362"/>
        <v>91275.191841827196</v>
      </c>
      <c r="U225" s="217"/>
    </row>
    <row r="226" spans="12:21" x14ac:dyDescent="0.35">
      <c r="L226" s="235">
        <v>49461</v>
      </c>
      <c r="M226" s="236"/>
      <c r="N226" s="157">
        <f t="shared" si="359"/>
        <v>1045.8310820768397</v>
      </c>
      <c r="O226" s="158"/>
      <c r="P226" s="216">
        <f t="shared" si="360"/>
        <v>144.51905374955973</v>
      </c>
      <c r="Q226" s="158"/>
      <c r="R226" s="157">
        <f t="shared" si="361"/>
        <v>901.31202832728002</v>
      </c>
      <c r="S226" s="158"/>
      <c r="T226" s="216">
        <f t="shared" si="362"/>
        <v>90373.879813499923</v>
      </c>
      <c r="U226" s="217"/>
    </row>
    <row r="227" spans="12:21" x14ac:dyDescent="0.35">
      <c r="L227" s="165">
        <v>49491</v>
      </c>
      <c r="M227" s="166"/>
      <c r="N227" s="157">
        <f t="shared" si="359"/>
        <v>1045.8310820768397</v>
      </c>
      <c r="O227" s="158"/>
      <c r="P227" s="216">
        <f t="shared" si="360"/>
        <v>143.09197637137487</v>
      </c>
      <c r="Q227" s="158"/>
      <c r="R227" s="157">
        <f t="shared" si="361"/>
        <v>902.73910570546491</v>
      </c>
      <c r="S227" s="158"/>
      <c r="T227" s="216">
        <f t="shared" si="362"/>
        <v>89471.14070779446</v>
      </c>
      <c r="U227" s="217"/>
    </row>
    <row r="228" spans="12:21" x14ac:dyDescent="0.35">
      <c r="L228" s="235">
        <v>49522</v>
      </c>
      <c r="M228" s="236"/>
      <c r="N228" s="157">
        <f t="shared" si="359"/>
        <v>1045.8310820768397</v>
      </c>
      <c r="O228" s="158"/>
      <c r="P228" s="216">
        <f t="shared" si="360"/>
        <v>141.66263945400789</v>
      </c>
      <c r="Q228" s="158"/>
      <c r="R228" s="157">
        <f t="shared" si="361"/>
        <v>904.16844262283189</v>
      </c>
      <c r="S228" s="158"/>
      <c r="T228" s="216">
        <f t="shared" si="362"/>
        <v>88566.972265171629</v>
      </c>
      <c r="U228" s="217"/>
    </row>
    <row r="229" spans="12:21" x14ac:dyDescent="0.35">
      <c r="L229" s="165">
        <v>49553</v>
      </c>
      <c r="M229" s="166"/>
      <c r="N229" s="157">
        <f t="shared" si="359"/>
        <v>1045.8310820768397</v>
      </c>
      <c r="O229" s="158"/>
      <c r="P229" s="216">
        <f t="shared" si="360"/>
        <v>140.23103941985508</v>
      </c>
      <c r="Q229" s="158"/>
      <c r="R229" s="157">
        <f t="shared" si="361"/>
        <v>905.60004265698467</v>
      </c>
      <c r="S229" s="158"/>
      <c r="T229" s="216">
        <f t="shared" si="362"/>
        <v>87661.372222514648</v>
      </c>
      <c r="U229" s="217"/>
    </row>
    <row r="230" spans="12:21" x14ac:dyDescent="0.35">
      <c r="L230" s="235">
        <v>49583</v>
      </c>
      <c r="M230" s="236"/>
      <c r="N230" s="157">
        <f t="shared" si="359"/>
        <v>1045.8310820768397</v>
      </c>
      <c r="O230" s="158"/>
      <c r="P230" s="216">
        <f t="shared" si="360"/>
        <v>138.79717268564818</v>
      </c>
      <c r="Q230" s="158"/>
      <c r="R230" s="157">
        <f t="shared" si="361"/>
        <v>907.03390939119151</v>
      </c>
      <c r="S230" s="158"/>
      <c r="T230" s="216">
        <f t="shared" si="362"/>
        <v>86754.338313123459</v>
      </c>
      <c r="U230" s="217"/>
    </row>
    <row r="231" spans="12:21" x14ac:dyDescent="0.35">
      <c r="L231" s="165">
        <v>49614</v>
      </c>
      <c r="M231" s="166"/>
      <c r="N231" s="157">
        <f t="shared" si="359"/>
        <v>1045.8310820768397</v>
      </c>
      <c r="O231" s="158"/>
      <c r="P231" s="216">
        <f t="shared" si="360"/>
        <v>137.36103566244546</v>
      </c>
      <c r="Q231" s="158"/>
      <c r="R231" s="157">
        <f t="shared" si="361"/>
        <v>908.47004641439423</v>
      </c>
      <c r="S231" s="158"/>
      <c r="T231" s="216">
        <f t="shared" si="362"/>
        <v>85845.868266709062</v>
      </c>
      <c r="U231" s="217"/>
    </row>
    <row r="232" spans="12:21" x14ac:dyDescent="0.35">
      <c r="L232" s="235">
        <v>49644</v>
      </c>
      <c r="M232" s="236"/>
      <c r="N232" s="157">
        <f t="shared" si="359"/>
        <v>1045.8310820768397</v>
      </c>
      <c r="O232" s="158"/>
      <c r="P232" s="216">
        <f t="shared" si="360"/>
        <v>135.92262475562268</v>
      </c>
      <c r="Q232" s="158"/>
      <c r="R232" s="157">
        <f t="shared" si="361"/>
        <v>909.90845732121704</v>
      </c>
      <c r="S232" s="158"/>
      <c r="T232" s="216">
        <f t="shared" si="362"/>
        <v>84935.959809387845</v>
      </c>
      <c r="U232" s="217"/>
    </row>
    <row r="233" spans="12:21" x14ac:dyDescent="0.35">
      <c r="L233" s="165">
        <v>49675</v>
      </c>
      <c r="M233" s="166"/>
      <c r="N233" s="157">
        <f t="shared" si="359"/>
        <v>1045.8310820768397</v>
      </c>
      <c r="O233" s="158"/>
      <c r="P233" s="216">
        <f t="shared" si="360"/>
        <v>134.48193636486408</v>
      </c>
      <c r="Q233" s="158"/>
      <c r="R233" s="157">
        <f t="shared" si="361"/>
        <v>911.34914571197567</v>
      </c>
      <c r="S233" s="158"/>
      <c r="T233" s="216">
        <f t="shared" si="362"/>
        <v>84024.610663675863</v>
      </c>
      <c r="U233" s="217"/>
    </row>
    <row r="234" spans="12:21" x14ac:dyDescent="0.35">
      <c r="L234" s="235">
        <v>49706</v>
      </c>
      <c r="M234" s="236"/>
      <c r="N234" s="157">
        <f t="shared" si="359"/>
        <v>1045.8310820768397</v>
      </c>
      <c r="O234" s="158"/>
      <c r="P234" s="216">
        <f t="shared" si="360"/>
        <v>133.03896688415344</v>
      </c>
      <c r="Q234" s="158"/>
      <c r="R234" s="157">
        <f t="shared" si="361"/>
        <v>912.79211519268631</v>
      </c>
      <c r="S234" s="158"/>
      <c r="T234" s="216">
        <f t="shared" si="362"/>
        <v>83111.818548483177</v>
      </c>
      <c r="U234" s="217"/>
    </row>
    <row r="235" spans="12:21" x14ac:dyDescent="0.35">
      <c r="L235" s="165">
        <v>49735</v>
      </c>
      <c r="M235" s="166"/>
      <c r="N235" s="157">
        <f t="shared" si="359"/>
        <v>1045.8310820768397</v>
      </c>
      <c r="O235" s="158"/>
      <c r="P235" s="216">
        <f t="shared" si="360"/>
        <v>131.59371270176501</v>
      </c>
      <c r="Q235" s="158"/>
      <c r="R235" s="157">
        <f t="shared" si="361"/>
        <v>914.23736937507465</v>
      </c>
      <c r="S235" s="158"/>
      <c r="T235" s="216">
        <f t="shared" si="362"/>
        <v>82197.581179108107</v>
      </c>
      <c r="U235" s="217"/>
    </row>
    <row r="236" spans="12:21" x14ac:dyDescent="0.35">
      <c r="L236" s="235">
        <v>49766</v>
      </c>
      <c r="M236" s="236"/>
      <c r="N236" s="157">
        <f t="shared" si="359"/>
        <v>1045.8310820768397</v>
      </c>
      <c r="O236" s="158"/>
      <c r="P236" s="216">
        <f t="shared" si="360"/>
        <v>130.14617020025449</v>
      </c>
      <c r="Q236" s="158"/>
      <c r="R236" s="157">
        <f t="shared" si="361"/>
        <v>915.68491187658526</v>
      </c>
      <c r="S236" s="158"/>
      <c r="T236" s="216">
        <f t="shared" si="362"/>
        <v>81281.896267231525</v>
      </c>
      <c r="U236" s="217"/>
    </row>
    <row r="237" spans="12:21" x14ac:dyDescent="0.35">
      <c r="L237" s="165">
        <v>49796</v>
      </c>
      <c r="M237" s="166"/>
      <c r="N237" s="157">
        <f t="shared" si="359"/>
        <v>1045.8310820768397</v>
      </c>
      <c r="O237" s="158"/>
      <c r="P237" s="216">
        <f t="shared" si="360"/>
        <v>128.69633575644991</v>
      </c>
      <c r="Q237" s="158"/>
      <c r="R237" s="157">
        <f t="shared" si="361"/>
        <v>917.13474632038981</v>
      </c>
      <c r="S237" s="158"/>
      <c r="T237" s="216">
        <f t="shared" si="362"/>
        <v>80364.761520911139</v>
      </c>
      <c r="U237" s="217"/>
    </row>
    <row r="238" spans="12:21" x14ac:dyDescent="0.35">
      <c r="L238" s="235">
        <v>49827</v>
      </c>
      <c r="M238" s="236"/>
      <c r="N238" s="157">
        <f t="shared" si="359"/>
        <v>1045.8310820768397</v>
      </c>
      <c r="O238" s="158"/>
      <c r="P238" s="216">
        <f t="shared" si="360"/>
        <v>127.24420574144263</v>
      </c>
      <c r="Q238" s="158"/>
      <c r="R238" s="157">
        <f t="shared" si="361"/>
        <v>918.58687633539705</v>
      </c>
      <c r="S238" s="158"/>
      <c r="T238" s="216">
        <f t="shared" si="362"/>
        <v>79446.174644575745</v>
      </c>
      <c r="U238" s="217"/>
    </row>
    <row r="239" spans="12:21" x14ac:dyDescent="0.35">
      <c r="L239" s="165">
        <v>49857</v>
      </c>
      <c r="M239" s="166"/>
      <c r="N239" s="157">
        <f t="shared" si="359"/>
        <v>1045.8310820768397</v>
      </c>
      <c r="O239" s="158"/>
      <c r="P239" s="216">
        <f t="shared" si="360"/>
        <v>125.78977652057826</v>
      </c>
      <c r="Q239" s="158"/>
      <c r="R239" s="157">
        <f t="shared" si="361"/>
        <v>920.04130555626148</v>
      </c>
      <c r="S239" s="158"/>
      <c r="T239" s="216">
        <f t="shared" si="362"/>
        <v>78526.133339019478</v>
      </c>
      <c r="U239" s="217"/>
    </row>
    <row r="240" spans="12:21" x14ac:dyDescent="0.35">
      <c r="L240" s="235">
        <v>49888</v>
      </c>
      <c r="M240" s="236"/>
      <c r="N240" s="157">
        <f t="shared" si="359"/>
        <v>1045.8310820768397</v>
      </c>
      <c r="O240" s="158"/>
      <c r="P240" s="216">
        <f t="shared" si="360"/>
        <v>124.3330444534475</v>
      </c>
      <c r="Q240" s="158"/>
      <c r="R240" s="157">
        <f t="shared" si="361"/>
        <v>921.49803762339218</v>
      </c>
      <c r="S240" s="158"/>
      <c r="T240" s="216">
        <f t="shared" si="362"/>
        <v>77604.635301396091</v>
      </c>
      <c r="U240" s="217"/>
    </row>
    <row r="241" spans="12:21" x14ac:dyDescent="0.35">
      <c r="L241" s="165">
        <v>49919</v>
      </c>
      <c r="M241" s="166"/>
      <c r="N241" s="157">
        <f t="shared" si="359"/>
        <v>1045.8310820768397</v>
      </c>
      <c r="O241" s="158"/>
      <c r="P241" s="216">
        <f t="shared" si="360"/>
        <v>122.87400589387714</v>
      </c>
      <c r="Q241" s="158"/>
      <c r="R241" s="157">
        <f t="shared" si="361"/>
        <v>922.95707618296262</v>
      </c>
      <c r="S241" s="158"/>
      <c r="T241" s="216">
        <f t="shared" si="362"/>
        <v>76681.678225213123</v>
      </c>
      <c r="U241" s="217"/>
    </row>
    <row r="242" spans="12:21" x14ac:dyDescent="0.35">
      <c r="L242" s="235">
        <v>49949</v>
      </c>
      <c r="M242" s="236"/>
      <c r="N242" s="157">
        <f t="shared" si="359"/>
        <v>1045.8310820768397</v>
      </c>
      <c r="O242" s="158"/>
      <c r="P242" s="216">
        <f t="shared" si="360"/>
        <v>121.41265718992078</v>
      </c>
      <c r="Q242" s="158"/>
      <c r="R242" s="157">
        <f t="shared" si="361"/>
        <v>924.41842488691896</v>
      </c>
      <c r="S242" s="158"/>
      <c r="T242" s="216">
        <f t="shared" si="362"/>
        <v>75757.25980032621</v>
      </c>
      <c r="U242" s="217"/>
    </row>
    <row r="243" spans="12:21" x14ac:dyDescent="0.35">
      <c r="L243" s="165">
        <v>49980</v>
      </c>
      <c r="M243" s="166"/>
      <c r="N243" s="157">
        <f t="shared" si="359"/>
        <v>1045.8310820768397</v>
      </c>
      <c r="O243" s="158"/>
      <c r="P243" s="216">
        <f t="shared" si="360"/>
        <v>119.94899468384983</v>
      </c>
      <c r="Q243" s="158"/>
      <c r="R243" s="157">
        <f t="shared" si="361"/>
        <v>925.88208739298989</v>
      </c>
      <c r="S243" s="158"/>
      <c r="T243" s="216">
        <f t="shared" si="362"/>
        <v>74831.377712933216</v>
      </c>
      <c r="U243" s="217"/>
    </row>
    <row r="244" spans="12:21" x14ac:dyDescent="0.35">
      <c r="L244" s="235">
        <v>50010</v>
      </c>
      <c r="M244" s="236"/>
      <c r="N244" s="157">
        <f t="shared" si="359"/>
        <v>1045.8310820768397</v>
      </c>
      <c r="O244" s="158"/>
      <c r="P244" s="216">
        <f t="shared" si="360"/>
        <v>118.48301471214425</v>
      </c>
      <c r="Q244" s="158"/>
      <c r="R244" s="157">
        <f t="shared" si="361"/>
        <v>927.34806736469545</v>
      </c>
      <c r="S244" s="158"/>
      <c r="T244" s="216">
        <f t="shared" si="362"/>
        <v>73904.029645568517</v>
      </c>
      <c r="U244" s="217"/>
    </row>
    <row r="245" spans="12:21" x14ac:dyDescent="0.35">
      <c r="L245" s="165">
        <v>50041</v>
      </c>
      <c r="M245" s="166"/>
      <c r="N245" s="157">
        <f t="shared" si="359"/>
        <v>1045.8310820768397</v>
      </c>
      <c r="O245" s="158"/>
      <c r="P245" s="216">
        <f t="shared" si="360"/>
        <v>117.01471360548348</v>
      </c>
      <c r="Q245" s="158"/>
      <c r="R245" s="157">
        <f t="shared" si="361"/>
        <v>928.81636847135621</v>
      </c>
      <c r="S245" s="158"/>
      <c r="T245" s="216">
        <f t="shared" si="362"/>
        <v>72975.213277097166</v>
      </c>
      <c r="U245" s="217"/>
    </row>
    <row r="246" spans="12:21" x14ac:dyDescent="0.35">
      <c r="L246" s="235">
        <v>50072</v>
      </c>
      <c r="M246" s="236"/>
      <c r="N246" s="157">
        <f t="shared" si="359"/>
        <v>1045.8310820768397</v>
      </c>
      <c r="O246" s="158"/>
      <c r="P246" s="216">
        <f t="shared" si="360"/>
        <v>115.54408768873718</v>
      </c>
      <c r="Q246" s="158"/>
      <c r="R246" s="157">
        <f t="shared" si="361"/>
        <v>930.28699438810258</v>
      </c>
      <c r="S246" s="158"/>
      <c r="T246" s="216">
        <f t="shared" si="362"/>
        <v>72044.926282709057</v>
      </c>
      <c r="U246" s="217"/>
    </row>
    <row r="247" spans="12:21" x14ac:dyDescent="0.35">
      <c r="L247" s="165">
        <v>50100</v>
      </c>
      <c r="M247" s="166"/>
      <c r="N247" s="157">
        <f t="shared" si="359"/>
        <v>1045.8310820768397</v>
      </c>
      <c r="O247" s="158"/>
      <c r="P247" s="216">
        <f t="shared" si="360"/>
        <v>114.071133280956</v>
      </c>
      <c r="Q247" s="158"/>
      <c r="R247" s="157">
        <f t="shared" si="361"/>
        <v>931.7599487958837</v>
      </c>
      <c r="S247" s="158"/>
      <c r="T247" s="216">
        <f t="shared" si="362"/>
        <v>71113.166333913177</v>
      </c>
      <c r="U247" s="217"/>
    </row>
    <row r="248" spans="12:21" x14ac:dyDescent="0.35">
      <c r="L248" s="235">
        <v>50131</v>
      </c>
      <c r="M248" s="236"/>
      <c r="N248" s="157">
        <f t="shared" si="359"/>
        <v>1045.8310820768397</v>
      </c>
      <c r="O248" s="158"/>
      <c r="P248" s="216">
        <f t="shared" si="360"/>
        <v>112.59584669536252</v>
      </c>
      <c r="Q248" s="158"/>
      <c r="R248" s="157">
        <f t="shared" si="361"/>
        <v>933.2352353814772</v>
      </c>
      <c r="S248" s="158"/>
      <c r="T248" s="216">
        <f t="shared" si="362"/>
        <v>70179.931098531699</v>
      </c>
      <c r="U248" s="217"/>
    </row>
    <row r="249" spans="12:21" x14ac:dyDescent="0.35">
      <c r="L249" s="165">
        <v>50161</v>
      </c>
      <c r="M249" s="166"/>
      <c r="N249" s="157">
        <f t="shared" si="359"/>
        <v>1045.8310820768397</v>
      </c>
      <c r="O249" s="158"/>
      <c r="P249" s="216">
        <f t="shared" si="360"/>
        <v>111.11822423934186</v>
      </c>
      <c r="Q249" s="158"/>
      <c r="R249" s="157">
        <f t="shared" si="361"/>
        <v>934.71285783749784</v>
      </c>
      <c r="S249" s="158"/>
      <c r="T249" s="216">
        <f t="shared" si="362"/>
        <v>69245.218240694201</v>
      </c>
      <c r="U249" s="217"/>
    </row>
    <row r="250" spans="12:21" x14ac:dyDescent="0.35">
      <c r="L250" s="235">
        <v>50192</v>
      </c>
      <c r="M250" s="236"/>
      <c r="N250" s="157">
        <f t="shared" si="359"/>
        <v>1045.8310820768397</v>
      </c>
      <c r="O250" s="158"/>
      <c r="P250" s="216">
        <f t="shared" si="360"/>
        <v>109.63826221443249</v>
      </c>
      <c r="Q250" s="158"/>
      <c r="R250" s="157">
        <f t="shared" si="361"/>
        <v>936.19281986240719</v>
      </c>
      <c r="S250" s="158"/>
      <c r="T250" s="216">
        <f t="shared" si="362"/>
        <v>68309.025420831793</v>
      </c>
      <c r="U250" s="217"/>
    </row>
    <row r="251" spans="12:21" x14ac:dyDescent="0.35">
      <c r="L251" s="165">
        <v>50222</v>
      </c>
      <c r="M251" s="166"/>
      <c r="N251" s="157">
        <f t="shared" si="359"/>
        <v>1045.8310820768397</v>
      </c>
      <c r="O251" s="158"/>
      <c r="P251" s="216">
        <f t="shared" si="360"/>
        <v>108.15595691631701</v>
      </c>
      <c r="Q251" s="158"/>
      <c r="R251" s="157">
        <f t="shared" si="361"/>
        <v>937.67512516052273</v>
      </c>
      <c r="S251" s="158"/>
      <c r="T251" s="216">
        <f t="shared" si="362"/>
        <v>67371.350295671276</v>
      </c>
      <c r="U251" s="217"/>
    </row>
    <row r="252" spans="12:21" x14ac:dyDescent="0.35">
      <c r="L252" s="235">
        <v>50253</v>
      </c>
      <c r="M252" s="236"/>
      <c r="N252" s="157">
        <f t="shared" si="359"/>
        <v>1045.8310820768397</v>
      </c>
      <c r="O252" s="158"/>
      <c r="P252" s="216">
        <f t="shared" si="360"/>
        <v>106.67130463481286</v>
      </c>
      <c r="Q252" s="158"/>
      <c r="R252" s="157">
        <f t="shared" si="361"/>
        <v>939.15977744202689</v>
      </c>
      <c r="S252" s="158"/>
      <c r="T252" s="216">
        <f t="shared" si="362"/>
        <v>66432.190518229254</v>
      </c>
      <c r="U252" s="217"/>
    </row>
    <row r="253" spans="12:21" x14ac:dyDescent="0.35">
      <c r="L253" s="165">
        <v>50284</v>
      </c>
      <c r="M253" s="166"/>
      <c r="N253" s="157">
        <f t="shared" si="359"/>
        <v>1045.8310820768397</v>
      </c>
      <c r="O253" s="158"/>
      <c r="P253" s="216">
        <f t="shared" si="360"/>
        <v>105.18430165386299</v>
      </c>
      <c r="Q253" s="158"/>
      <c r="R253" s="157">
        <f t="shared" si="361"/>
        <v>940.64678042297669</v>
      </c>
      <c r="S253" s="158"/>
      <c r="T253" s="216">
        <f t="shared" si="362"/>
        <v>65491.543737806278</v>
      </c>
      <c r="U253" s="217"/>
    </row>
    <row r="254" spans="12:21" x14ac:dyDescent="0.35">
      <c r="L254" s="235">
        <v>50314</v>
      </c>
      <c r="M254" s="236"/>
      <c r="N254" s="157">
        <f t="shared" si="359"/>
        <v>1045.8310820768397</v>
      </c>
      <c r="O254" s="158"/>
      <c r="P254" s="216">
        <f t="shared" si="360"/>
        <v>103.69494425152661</v>
      </c>
      <c r="Q254" s="158"/>
      <c r="R254" s="157">
        <f t="shared" si="361"/>
        <v>942.13613782531309</v>
      </c>
      <c r="S254" s="158"/>
      <c r="T254" s="216">
        <f t="shared" si="362"/>
        <v>64549.407599980965</v>
      </c>
      <c r="U254" s="217"/>
    </row>
    <row r="255" spans="12:21" x14ac:dyDescent="0.35">
      <c r="L255" s="165">
        <v>50345</v>
      </c>
      <c r="M255" s="166"/>
      <c r="N255" s="157">
        <f t="shared" si="359"/>
        <v>1045.8310820768397</v>
      </c>
      <c r="O255" s="158"/>
      <c r="P255" s="216">
        <f t="shared" si="360"/>
        <v>102.20322869996986</v>
      </c>
      <c r="Q255" s="158"/>
      <c r="R255" s="157">
        <f t="shared" si="361"/>
        <v>943.62785337686989</v>
      </c>
      <c r="S255" s="158"/>
      <c r="T255" s="216">
        <f t="shared" si="362"/>
        <v>63605.779746604094</v>
      </c>
      <c r="U255" s="217"/>
    </row>
    <row r="256" spans="12:21" x14ac:dyDescent="0.35">
      <c r="L256" s="235">
        <v>50375</v>
      </c>
      <c r="M256" s="236"/>
      <c r="N256" s="157">
        <f t="shared" si="359"/>
        <v>1045.8310820768397</v>
      </c>
      <c r="O256" s="158"/>
      <c r="P256" s="216">
        <f t="shared" si="360"/>
        <v>100.70915126545648</v>
      </c>
      <c r="Q256" s="158"/>
      <c r="R256" s="157">
        <f t="shared" si="361"/>
        <v>945.12193081138321</v>
      </c>
      <c r="S256" s="158"/>
      <c r="T256" s="216">
        <f t="shared" si="362"/>
        <v>62660.657815792714</v>
      </c>
      <c r="U256" s="217"/>
    </row>
    <row r="257" spans="12:21" x14ac:dyDescent="0.35">
      <c r="L257" s="165">
        <v>50406</v>
      </c>
      <c r="M257" s="166"/>
      <c r="N257" s="157">
        <f t="shared" si="359"/>
        <v>1045.8310820768397</v>
      </c>
      <c r="O257" s="158"/>
      <c r="P257" s="216">
        <f t="shared" si="360"/>
        <v>99.212708208338455</v>
      </c>
      <c r="Q257" s="158"/>
      <c r="R257" s="157">
        <f t="shared" si="361"/>
        <v>946.61837386850129</v>
      </c>
      <c r="S257" s="158"/>
      <c r="T257" s="216">
        <f t="shared" si="362"/>
        <v>61714.039441924215</v>
      </c>
      <c r="U257" s="217"/>
    </row>
    <row r="258" spans="12:21" x14ac:dyDescent="0.35">
      <c r="L258" s="235">
        <v>50437</v>
      </c>
      <c r="M258" s="236"/>
      <c r="N258" s="157">
        <f t="shared" si="359"/>
        <v>1045.8310820768397</v>
      </c>
      <c r="O258" s="158"/>
      <c r="P258" s="216">
        <f t="shared" si="360"/>
        <v>97.713895783046667</v>
      </c>
      <c r="Q258" s="158"/>
      <c r="R258" s="157">
        <f t="shared" si="361"/>
        <v>948.11718629379311</v>
      </c>
      <c r="S258" s="158"/>
      <c r="T258" s="216">
        <f t="shared" si="362"/>
        <v>60765.922255630423</v>
      </c>
      <c r="U258" s="217"/>
    </row>
    <row r="259" spans="12:21" x14ac:dyDescent="0.35">
      <c r="L259" s="165">
        <v>50465</v>
      </c>
      <c r="M259" s="166"/>
      <c r="N259" s="157">
        <f t="shared" si="359"/>
        <v>1045.8310820768397</v>
      </c>
      <c r="O259" s="158"/>
      <c r="P259" s="216">
        <f t="shared" si="360"/>
        <v>96.212710238081499</v>
      </c>
      <c r="Q259" s="158"/>
      <c r="R259" s="157">
        <f t="shared" si="361"/>
        <v>949.61837183875821</v>
      </c>
      <c r="S259" s="158"/>
      <c r="T259" s="216">
        <f t="shared" si="362"/>
        <v>59816.303883791668</v>
      </c>
      <c r="U259" s="217"/>
    </row>
    <row r="260" spans="12:21" x14ac:dyDescent="0.35">
      <c r="L260" s="235">
        <v>50496</v>
      </c>
      <c r="M260" s="236"/>
      <c r="N260" s="157">
        <f t="shared" si="359"/>
        <v>1045.8310820768397</v>
      </c>
      <c r="O260" s="158"/>
      <c r="P260" s="216">
        <f t="shared" si="360"/>
        <v>94.709147816003465</v>
      </c>
      <c r="Q260" s="158"/>
      <c r="R260" s="157">
        <f t="shared" si="361"/>
        <v>951.12193426083627</v>
      </c>
      <c r="S260" s="158"/>
      <c r="T260" s="216">
        <f t="shared" si="362"/>
        <v>58865.18194953083</v>
      </c>
      <c r="U260" s="217"/>
    </row>
    <row r="261" spans="12:21" x14ac:dyDescent="0.35">
      <c r="L261" s="165">
        <v>50526</v>
      </c>
      <c r="M261" s="166"/>
      <c r="N261" s="157">
        <f t="shared" si="359"/>
        <v>1045.8310820768397</v>
      </c>
      <c r="O261" s="158"/>
      <c r="P261" s="216">
        <f t="shared" si="360"/>
        <v>93.203204753423819</v>
      </c>
      <c r="Q261" s="158"/>
      <c r="R261" s="157">
        <f t="shared" si="361"/>
        <v>952.62787732341587</v>
      </c>
      <c r="S261" s="158"/>
      <c r="T261" s="216">
        <f t="shared" si="362"/>
        <v>57912.554072207415</v>
      </c>
      <c r="U261" s="217"/>
    </row>
    <row r="262" spans="12:21" x14ac:dyDescent="0.35">
      <c r="L262" s="235">
        <v>50557</v>
      </c>
      <c r="M262" s="236"/>
      <c r="N262" s="157">
        <f t="shared" si="359"/>
        <v>1045.8310820768397</v>
      </c>
      <c r="O262" s="158"/>
      <c r="P262" s="216">
        <f t="shared" si="360"/>
        <v>91.694877280995073</v>
      </c>
      <c r="Q262" s="158"/>
      <c r="R262" s="157">
        <f t="shared" si="361"/>
        <v>954.13620479584461</v>
      </c>
      <c r="S262" s="158"/>
      <c r="T262" s="216">
        <f t="shared" si="362"/>
        <v>56958.417867411568</v>
      </c>
      <c r="U262" s="217"/>
    </row>
    <row r="263" spans="12:21" x14ac:dyDescent="0.35">
      <c r="L263" s="165">
        <v>50587</v>
      </c>
      <c r="M263" s="166"/>
      <c r="N263" s="157">
        <f t="shared" si="359"/>
        <v>1045.8310820768397</v>
      </c>
      <c r="O263" s="158"/>
      <c r="P263" s="216">
        <f t="shared" si="360"/>
        <v>90.18416162340165</v>
      </c>
      <c r="Q263" s="158"/>
      <c r="R263" s="157">
        <f t="shared" si="361"/>
        <v>955.64692045343804</v>
      </c>
      <c r="S263" s="158"/>
      <c r="T263" s="216">
        <f t="shared" si="362"/>
        <v>56002.770946958131</v>
      </c>
      <c r="U263" s="217"/>
    </row>
    <row r="264" spans="12:21" x14ac:dyDescent="0.35">
      <c r="L264" s="235">
        <v>50618</v>
      </c>
      <c r="M264" s="236"/>
      <c r="N264" s="157">
        <f t="shared" si="359"/>
        <v>1045.8310820768397</v>
      </c>
      <c r="O264" s="158"/>
      <c r="P264" s="216">
        <f t="shared" si="360"/>
        <v>88.671053999350377</v>
      </c>
      <c r="Q264" s="158"/>
      <c r="R264" s="157">
        <f t="shared" si="361"/>
        <v>957.1600280774893</v>
      </c>
      <c r="S264" s="158"/>
      <c r="T264" s="216">
        <f t="shared" si="362"/>
        <v>55045.610918880644</v>
      </c>
      <c r="U264" s="217"/>
    </row>
    <row r="265" spans="12:21" x14ac:dyDescent="0.35">
      <c r="L265" s="165">
        <v>50649</v>
      </c>
      <c r="M265" s="166"/>
      <c r="N265" s="157">
        <f t="shared" si="359"/>
        <v>1045.8310820768397</v>
      </c>
      <c r="O265" s="158"/>
      <c r="P265" s="216">
        <f t="shared" si="360"/>
        <v>87.155550621561019</v>
      </c>
      <c r="Q265" s="158"/>
      <c r="R265" s="157">
        <f t="shared" si="361"/>
        <v>958.6755314552787</v>
      </c>
      <c r="S265" s="158"/>
      <c r="T265" s="216">
        <f t="shared" si="362"/>
        <v>54086.935387425365</v>
      </c>
      <c r="U265" s="217"/>
    </row>
    <row r="266" spans="12:21" x14ac:dyDescent="0.35">
      <c r="L266" s="235">
        <v>50679</v>
      </c>
      <c r="M266" s="236"/>
      <c r="N266" s="157">
        <f t="shared" si="359"/>
        <v>1045.8310820768397</v>
      </c>
      <c r="O266" s="158"/>
      <c r="P266" s="216">
        <f t="shared" si="360"/>
        <v>85.637647696756829</v>
      </c>
      <c r="Q266" s="158"/>
      <c r="R266" s="157">
        <f t="shared" si="361"/>
        <v>960.19343438008286</v>
      </c>
      <c r="S266" s="158"/>
      <c r="T266" s="216">
        <f t="shared" si="362"/>
        <v>53126.741953045283</v>
      </c>
      <c r="U266" s="217"/>
    </row>
    <row r="267" spans="12:21" x14ac:dyDescent="0.35">
      <c r="L267" s="165">
        <v>50710</v>
      </c>
      <c r="M267" s="166"/>
      <c r="N267" s="157">
        <f t="shared" si="359"/>
        <v>1045.8310820768397</v>
      </c>
      <c r="O267" s="158"/>
      <c r="P267" s="216">
        <f t="shared" si="360"/>
        <v>84.117341425655027</v>
      </c>
      <c r="Q267" s="158"/>
      <c r="R267" s="157">
        <f t="shared" si="361"/>
        <v>961.71374065118471</v>
      </c>
      <c r="S267" s="158"/>
      <c r="T267" s="216">
        <f t="shared" si="362"/>
        <v>52165.0282123941</v>
      </c>
      <c r="U267" s="217"/>
    </row>
    <row r="268" spans="12:21" x14ac:dyDescent="0.35">
      <c r="L268" s="235">
        <v>50740</v>
      </c>
      <c r="M268" s="236"/>
      <c r="N268" s="157">
        <f t="shared" si="359"/>
        <v>1045.8310820768397</v>
      </c>
      <c r="O268" s="158"/>
      <c r="P268" s="216">
        <f t="shared" si="360"/>
        <v>82.594628002957322</v>
      </c>
      <c r="Q268" s="158"/>
      <c r="R268" s="157">
        <f t="shared" si="361"/>
        <v>963.23645407388244</v>
      </c>
      <c r="S268" s="158"/>
      <c r="T268" s="216">
        <f t="shared" si="362"/>
        <v>51201.791758320214</v>
      </c>
      <c r="U268" s="217"/>
    </row>
    <row r="269" spans="12:21" x14ac:dyDescent="0.35">
      <c r="L269" s="165">
        <v>50771</v>
      </c>
      <c r="M269" s="166"/>
      <c r="N269" s="157">
        <f t="shared" si="359"/>
        <v>1045.8310820768397</v>
      </c>
      <c r="O269" s="158"/>
      <c r="P269" s="216">
        <f t="shared" si="360"/>
        <v>81.069503617340331</v>
      </c>
      <c r="Q269" s="158"/>
      <c r="R269" s="157">
        <f t="shared" si="361"/>
        <v>964.76157845949933</v>
      </c>
      <c r="S269" s="158"/>
      <c r="T269" s="216">
        <f t="shared" si="362"/>
        <v>50237.030179860718</v>
      </c>
      <c r="U269" s="217"/>
    </row>
    <row r="270" spans="12:21" x14ac:dyDescent="0.35">
      <c r="L270" s="235">
        <v>50802</v>
      </c>
      <c r="M270" s="236"/>
      <c r="N270" s="157">
        <f t="shared" si="359"/>
        <v>1045.8310820768397</v>
      </c>
      <c r="O270" s="158"/>
      <c r="P270" s="216">
        <f t="shared" si="360"/>
        <v>79.541964451446134</v>
      </c>
      <c r="Q270" s="158"/>
      <c r="R270" s="157">
        <f t="shared" si="361"/>
        <v>966.2891176253936</v>
      </c>
      <c r="S270" s="158"/>
      <c r="T270" s="216">
        <f t="shared" si="362"/>
        <v>49270.741062235327</v>
      </c>
      <c r="U270" s="217"/>
    </row>
    <row r="271" spans="12:21" x14ac:dyDescent="0.35">
      <c r="L271" s="165">
        <v>50830</v>
      </c>
      <c r="M271" s="166"/>
      <c r="N271" s="157">
        <f t="shared" si="359"/>
        <v>1045.8310820768397</v>
      </c>
      <c r="O271" s="158"/>
      <c r="P271" s="216">
        <f t="shared" si="360"/>
        <v>78.012006681872606</v>
      </c>
      <c r="Q271" s="158"/>
      <c r="R271" s="157">
        <f t="shared" si="361"/>
        <v>967.81907539496706</v>
      </c>
      <c r="S271" s="158"/>
      <c r="T271" s="216">
        <f t="shared" si="362"/>
        <v>48302.92198684036</v>
      </c>
      <c r="U271" s="217"/>
    </row>
    <row r="272" spans="12:21" x14ac:dyDescent="0.35">
      <c r="L272" s="235">
        <v>50861</v>
      </c>
      <c r="M272" s="236"/>
      <c r="N272" s="157">
        <f t="shared" si="359"/>
        <v>1045.8310820768397</v>
      </c>
      <c r="O272" s="158"/>
      <c r="P272" s="216">
        <f t="shared" si="360"/>
        <v>76.479626479163898</v>
      </c>
      <c r="Q272" s="158"/>
      <c r="R272" s="157">
        <f t="shared" si="361"/>
        <v>969.35145559767579</v>
      </c>
      <c r="S272" s="158"/>
      <c r="T272" s="216">
        <f t="shared" si="362"/>
        <v>47333.570531242687</v>
      </c>
      <c r="U272" s="217"/>
    </row>
    <row r="273" spans="12:21" x14ac:dyDescent="0.35">
      <c r="L273" s="165">
        <v>50891</v>
      </c>
      <c r="M273" s="166"/>
      <c r="N273" s="157">
        <f t="shared" si="359"/>
        <v>1045.8310820768397</v>
      </c>
      <c r="O273" s="158"/>
      <c r="P273" s="216">
        <f t="shared" si="360"/>
        <v>74.944820007800914</v>
      </c>
      <c r="Q273" s="158"/>
      <c r="R273" s="157">
        <f t="shared" si="361"/>
        <v>970.88626206903882</v>
      </c>
      <c r="S273" s="158"/>
      <c r="T273" s="216">
        <f t="shared" si="362"/>
        <v>46362.684269173646</v>
      </c>
      <c r="U273" s="217"/>
    </row>
    <row r="274" spans="12:21" x14ac:dyDescent="0.35">
      <c r="L274" s="235">
        <v>50922</v>
      </c>
      <c r="M274" s="236"/>
      <c r="N274" s="157">
        <f t="shared" si="359"/>
        <v>1045.8310820768397</v>
      </c>
      <c r="O274" s="158"/>
      <c r="P274" s="216">
        <f t="shared" si="360"/>
        <v>73.407583426191607</v>
      </c>
      <c r="Q274" s="158"/>
      <c r="R274" s="157">
        <f t="shared" si="361"/>
        <v>972.42349865064807</v>
      </c>
      <c r="S274" s="158"/>
      <c r="T274" s="216">
        <f t="shared" si="362"/>
        <v>45390.260770522997</v>
      </c>
      <c r="U274" s="217"/>
    </row>
    <row r="275" spans="12:21" x14ac:dyDescent="0.35">
      <c r="L275" s="165">
        <v>50952</v>
      </c>
      <c r="M275" s="166"/>
      <c r="N275" s="157">
        <f t="shared" si="359"/>
        <v>1045.8310820768397</v>
      </c>
      <c r="O275" s="158"/>
      <c r="P275" s="216">
        <f t="shared" si="360"/>
        <v>71.867912886661415</v>
      </c>
      <c r="Q275" s="158"/>
      <c r="R275" s="157">
        <f t="shared" si="361"/>
        <v>973.96316919017829</v>
      </c>
      <c r="S275" s="158"/>
      <c r="T275" s="216">
        <f t="shared" si="362"/>
        <v>44416.297601332815</v>
      </c>
      <c r="U275" s="217"/>
    </row>
    <row r="276" spans="12:21" x14ac:dyDescent="0.35">
      <c r="L276" s="235">
        <v>50983</v>
      </c>
      <c r="M276" s="236"/>
      <c r="N276" s="157">
        <f t="shared" ref="N276:N319" si="363">$R$15</f>
        <v>1045.8310820768397</v>
      </c>
      <c r="O276" s="158"/>
      <c r="P276" s="216">
        <f t="shared" ref="P276:P319" si="364">($R$5/$R$7)*T275</f>
        <v>70.325804535443623</v>
      </c>
      <c r="Q276" s="158"/>
      <c r="R276" s="157">
        <f t="shared" si="361"/>
        <v>975.50527754139614</v>
      </c>
      <c r="S276" s="158"/>
      <c r="T276" s="216">
        <f t="shared" si="362"/>
        <v>43440.792323791422</v>
      </c>
      <c r="U276" s="217"/>
    </row>
    <row r="277" spans="12:21" x14ac:dyDescent="0.35">
      <c r="L277" s="165">
        <v>51014</v>
      </c>
      <c r="M277" s="166"/>
      <c r="N277" s="157">
        <f t="shared" si="363"/>
        <v>1045.8310820768397</v>
      </c>
      <c r="O277" s="158"/>
      <c r="P277" s="216">
        <f t="shared" si="364"/>
        <v>68.781254512669747</v>
      </c>
      <c r="Q277" s="158"/>
      <c r="R277" s="157">
        <f t="shared" ref="R277:R319" si="365">N277-P277</f>
        <v>977.04982756416996</v>
      </c>
      <c r="S277" s="158"/>
      <c r="T277" s="216">
        <f t="shared" ref="T277:T319" si="366">T276-R277</f>
        <v>42463.742496227249</v>
      </c>
      <c r="U277" s="217"/>
    </row>
    <row r="278" spans="12:21" x14ac:dyDescent="0.35">
      <c r="L278" s="235">
        <v>51044</v>
      </c>
      <c r="M278" s="236"/>
      <c r="N278" s="157">
        <f t="shared" si="363"/>
        <v>1045.8310820768397</v>
      </c>
      <c r="O278" s="158"/>
      <c r="P278" s="216">
        <f t="shared" si="364"/>
        <v>67.234258952359809</v>
      </c>
      <c r="Q278" s="158"/>
      <c r="R278" s="157">
        <f t="shared" si="365"/>
        <v>978.5968231244799</v>
      </c>
      <c r="S278" s="158"/>
      <c r="T278" s="216">
        <f t="shared" si="366"/>
        <v>41485.145673102772</v>
      </c>
      <c r="U278" s="217"/>
    </row>
    <row r="279" spans="12:21" x14ac:dyDescent="0.35">
      <c r="L279" s="165">
        <v>51075</v>
      </c>
      <c r="M279" s="166"/>
      <c r="N279" s="157">
        <f t="shared" si="363"/>
        <v>1045.8310820768397</v>
      </c>
      <c r="O279" s="158"/>
      <c r="P279" s="216">
        <f t="shared" si="364"/>
        <v>65.68481398241272</v>
      </c>
      <c r="Q279" s="158"/>
      <c r="R279" s="157">
        <f t="shared" si="365"/>
        <v>980.146268094427</v>
      </c>
      <c r="S279" s="158"/>
      <c r="T279" s="216">
        <f t="shared" si="366"/>
        <v>40504.999405008348</v>
      </c>
      <c r="U279" s="217"/>
    </row>
    <row r="280" spans="12:21" x14ac:dyDescent="0.35">
      <c r="L280" s="235">
        <v>51105</v>
      </c>
      <c r="M280" s="236"/>
      <c r="N280" s="157">
        <f t="shared" si="363"/>
        <v>1045.8310820768397</v>
      </c>
      <c r="O280" s="158"/>
      <c r="P280" s="216">
        <f t="shared" si="364"/>
        <v>64.132915724596543</v>
      </c>
      <c r="Q280" s="158"/>
      <c r="R280" s="157">
        <f t="shared" si="365"/>
        <v>981.69816635224322</v>
      </c>
      <c r="S280" s="158"/>
      <c r="T280" s="216">
        <f t="shared" si="366"/>
        <v>39523.301238656102</v>
      </c>
      <c r="U280" s="217"/>
    </row>
    <row r="281" spans="12:21" x14ac:dyDescent="0.35">
      <c r="L281" s="165">
        <v>51136</v>
      </c>
      <c r="M281" s="166"/>
      <c r="N281" s="157">
        <f t="shared" si="363"/>
        <v>1045.8310820768397</v>
      </c>
      <c r="O281" s="158"/>
      <c r="P281" s="216">
        <f t="shared" si="364"/>
        <v>62.578560294538825</v>
      </c>
      <c r="Q281" s="158"/>
      <c r="R281" s="157">
        <f t="shared" si="365"/>
        <v>983.25252178230085</v>
      </c>
      <c r="S281" s="158"/>
      <c r="T281" s="216">
        <f t="shared" si="366"/>
        <v>38540.048716873804</v>
      </c>
      <c r="U281" s="217"/>
    </row>
    <row r="282" spans="12:21" x14ac:dyDescent="0.35">
      <c r="L282" s="235">
        <v>51167</v>
      </c>
      <c r="M282" s="236"/>
      <c r="N282" s="157">
        <f t="shared" si="363"/>
        <v>1045.8310820768397</v>
      </c>
      <c r="O282" s="158"/>
      <c r="P282" s="216">
        <f t="shared" si="364"/>
        <v>61.021743801716852</v>
      </c>
      <c r="Q282" s="158"/>
      <c r="R282" s="157">
        <f t="shared" si="365"/>
        <v>984.80933827512285</v>
      </c>
      <c r="S282" s="158"/>
      <c r="T282" s="216">
        <f t="shared" si="366"/>
        <v>37555.239378598679</v>
      </c>
      <c r="U282" s="217"/>
    </row>
    <row r="283" spans="12:21" x14ac:dyDescent="0.35">
      <c r="L283" s="165">
        <v>51196</v>
      </c>
      <c r="M283" s="166"/>
      <c r="N283" s="157">
        <f t="shared" si="363"/>
        <v>1045.8310820768397</v>
      </c>
      <c r="O283" s="158"/>
      <c r="P283" s="216">
        <f t="shared" si="364"/>
        <v>59.462462349447904</v>
      </c>
      <c r="Q283" s="158"/>
      <c r="R283" s="157">
        <f t="shared" si="365"/>
        <v>986.36861972739177</v>
      </c>
      <c r="S283" s="158"/>
      <c r="T283" s="216">
        <f t="shared" si="366"/>
        <v>36568.870758871286</v>
      </c>
      <c r="U283" s="217"/>
    </row>
    <row r="284" spans="12:21" x14ac:dyDescent="0.35">
      <c r="L284" s="235">
        <v>51227</v>
      </c>
      <c r="M284" s="236"/>
      <c r="N284" s="157">
        <f t="shared" si="363"/>
        <v>1045.8310820768397</v>
      </c>
      <c r="O284" s="158"/>
      <c r="P284" s="216">
        <f t="shared" si="364"/>
        <v>57.900712034879533</v>
      </c>
      <c r="Q284" s="158"/>
      <c r="R284" s="157">
        <f t="shared" si="365"/>
        <v>987.93037004196015</v>
      </c>
      <c r="S284" s="158"/>
      <c r="T284" s="216">
        <f t="shared" si="366"/>
        <v>35580.940388829324</v>
      </c>
      <c r="U284" s="217"/>
    </row>
    <row r="285" spans="12:21" x14ac:dyDescent="0.35">
      <c r="L285" s="165">
        <v>51257</v>
      </c>
      <c r="M285" s="166"/>
      <c r="N285" s="157">
        <f t="shared" si="363"/>
        <v>1045.8310820768397</v>
      </c>
      <c r="O285" s="158"/>
      <c r="P285" s="216">
        <f t="shared" si="364"/>
        <v>56.336488948979763</v>
      </c>
      <c r="Q285" s="158"/>
      <c r="R285" s="157">
        <f t="shared" si="365"/>
        <v>989.49459312785996</v>
      </c>
      <c r="S285" s="158"/>
      <c r="T285" s="216">
        <f t="shared" si="366"/>
        <v>34591.44579570146</v>
      </c>
      <c r="U285" s="217"/>
    </row>
    <row r="286" spans="12:21" x14ac:dyDescent="0.35">
      <c r="L286" s="235">
        <v>51288</v>
      </c>
      <c r="M286" s="236"/>
      <c r="N286" s="157">
        <f t="shared" si="363"/>
        <v>1045.8310820768397</v>
      </c>
      <c r="O286" s="158"/>
      <c r="P286" s="216">
        <f t="shared" si="364"/>
        <v>54.769789176527311</v>
      </c>
      <c r="Q286" s="158"/>
      <c r="R286" s="157">
        <f t="shared" si="365"/>
        <v>991.06129290031242</v>
      </c>
      <c r="S286" s="158"/>
      <c r="T286" s="216">
        <f t="shared" si="366"/>
        <v>33600.384502801149</v>
      </c>
      <c r="U286" s="217"/>
    </row>
    <row r="287" spans="12:21" x14ac:dyDescent="0.35">
      <c r="L287" s="165">
        <v>51318</v>
      </c>
      <c r="M287" s="166"/>
      <c r="N287" s="157">
        <f t="shared" si="363"/>
        <v>1045.8310820768397</v>
      </c>
      <c r="O287" s="158"/>
      <c r="P287" s="216">
        <f t="shared" si="364"/>
        <v>53.200608796101818</v>
      </c>
      <c r="Q287" s="158"/>
      <c r="R287" s="157">
        <f t="shared" si="365"/>
        <v>992.63047328073787</v>
      </c>
      <c r="S287" s="158"/>
      <c r="T287" s="216">
        <f t="shared" si="366"/>
        <v>32607.754029520413</v>
      </c>
      <c r="U287" s="217"/>
    </row>
    <row r="288" spans="12:21" x14ac:dyDescent="0.35">
      <c r="L288" s="235">
        <v>51349</v>
      </c>
      <c r="M288" s="236"/>
      <c r="N288" s="157">
        <f t="shared" si="363"/>
        <v>1045.8310820768397</v>
      </c>
      <c r="O288" s="158"/>
      <c r="P288" s="216">
        <f t="shared" si="364"/>
        <v>51.628943880073983</v>
      </c>
      <c r="Q288" s="158"/>
      <c r="R288" s="157">
        <f t="shared" si="365"/>
        <v>994.20213819676576</v>
      </c>
      <c r="S288" s="158"/>
      <c r="T288" s="216">
        <f t="shared" si="366"/>
        <v>31613.551891323648</v>
      </c>
      <c r="U288" s="217"/>
    </row>
    <row r="289" spans="12:21" x14ac:dyDescent="0.35">
      <c r="L289" s="165">
        <v>51380</v>
      </c>
      <c r="M289" s="166"/>
      <c r="N289" s="157">
        <f t="shared" si="363"/>
        <v>1045.8310820768397</v>
      </c>
      <c r="O289" s="158"/>
      <c r="P289" s="216">
        <f t="shared" si="364"/>
        <v>50.054790494595778</v>
      </c>
      <c r="Q289" s="158"/>
      <c r="R289" s="157">
        <f t="shared" si="365"/>
        <v>995.77629158224397</v>
      </c>
      <c r="S289" s="158"/>
      <c r="T289" s="216">
        <f t="shared" si="366"/>
        <v>30617.775599741406</v>
      </c>
      <c r="U289" s="217"/>
    </row>
    <row r="290" spans="12:21" x14ac:dyDescent="0.35">
      <c r="L290" s="235">
        <v>51410</v>
      </c>
      <c r="M290" s="236"/>
      <c r="N290" s="157">
        <f t="shared" si="363"/>
        <v>1045.8310820768397</v>
      </c>
      <c r="O290" s="158"/>
      <c r="P290" s="216">
        <f t="shared" si="364"/>
        <v>48.478144699590558</v>
      </c>
      <c r="Q290" s="158"/>
      <c r="R290" s="157">
        <f t="shared" si="365"/>
        <v>997.35293737724919</v>
      </c>
      <c r="S290" s="158"/>
      <c r="T290" s="216">
        <f t="shared" si="366"/>
        <v>29620.422662364155</v>
      </c>
      <c r="U290" s="217"/>
    </row>
    <row r="291" spans="12:21" x14ac:dyDescent="0.35">
      <c r="L291" s="165">
        <v>51441</v>
      </c>
      <c r="M291" s="166"/>
      <c r="N291" s="157">
        <f t="shared" si="363"/>
        <v>1045.8310820768397</v>
      </c>
      <c r="O291" s="158"/>
      <c r="P291" s="216">
        <f t="shared" si="364"/>
        <v>46.899002548743248</v>
      </c>
      <c r="Q291" s="158"/>
      <c r="R291" s="157">
        <f t="shared" si="365"/>
        <v>998.93207952809644</v>
      </c>
      <c r="S291" s="158"/>
      <c r="T291" s="216">
        <f t="shared" si="366"/>
        <v>28621.490582836057</v>
      </c>
      <c r="U291" s="217"/>
    </row>
    <row r="292" spans="12:21" x14ac:dyDescent="0.35">
      <c r="L292" s="235">
        <v>51471</v>
      </c>
      <c r="M292" s="236"/>
      <c r="N292" s="157">
        <f t="shared" si="363"/>
        <v>1045.8310820768397</v>
      </c>
      <c r="O292" s="158"/>
      <c r="P292" s="216">
        <f t="shared" si="364"/>
        <v>45.317360089490421</v>
      </c>
      <c r="Q292" s="158"/>
      <c r="R292" s="157">
        <f t="shared" si="365"/>
        <v>1000.5137219873493</v>
      </c>
      <c r="S292" s="158"/>
      <c r="T292" s="216">
        <f t="shared" si="366"/>
        <v>27620.976860848707</v>
      </c>
      <c r="U292" s="217"/>
    </row>
    <row r="293" spans="12:21" x14ac:dyDescent="0.35">
      <c r="L293" s="165">
        <v>51502</v>
      </c>
      <c r="M293" s="166"/>
      <c r="N293" s="157">
        <f t="shared" si="363"/>
        <v>1045.8310820768397</v>
      </c>
      <c r="O293" s="158"/>
      <c r="P293" s="216">
        <f t="shared" si="364"/>
        <v>43.733213363010449</v>
      </c>
      <c r="Q293" s="158"/>
      <c r="R293" s="157">
        <f t="shared" si="365"/>
        <v>1002.0978687138293</v>
      </c>
      <c r="S293" s="158"/>
      <c r="T293" s="216">
        <f t="shared" si="366"/>
        <v>26618.878992134876</v>
      </c>
      <c r="U293" s="217"/>
    </row>
    <row r="294" spans="12:21" x14ac:dyDescent="0.35">
      <c r="L294" s="235">
        <v>51533</v>
      </c>
      <c r="M294" s="236"/>
      <c r="N294" s="157">
        <f t="shared" si="363"/>
        <v>1045.8310820768397</v>
      </c>
      <c r="O294" s="158"/>
      <c r="P294" s="216">
        <f t="shared" si="364"/>
        <v>42.14655840421355</v>
      </c>
      <c r="Q294" s="158"/>
      <c r="R294" s="157">
        <f t="shared" si="365"/>
        <v>1003.6845236726261</v>
      </c>
      <c r="S294" s="158"/>
      <c r="T294" s="216">
        <f t="shared" si="366"/>
        <v>25615.19446846225</v>
      </c>
      <c r="U294" s="217"/>
    </row>
    <row r="295" spans="12:21" x14ac:dyDescent="0.35">
      <c r="L295" s="165">
        <v>51561</v>
      </c>
      <c r="M295" s="166"/>
      <c r="N295" s="157">
        <f t="shared" si="363"/>
        <v>1045.8310820768397</v>
      </c>
      <c r="O295" s="158"/>
      <c r="P295" s="216">
        <f t="shared" si="364"/>
        <v>40.557391241731892</v>
      </c>
      <c r="Q295" s="158"/>
      <c r="R295" s="157">
        <f t="shared" si="365"/>
        <v>1005.2736908351078</v>
      </c>
      <c r="S295" s="158"/>
      <c r="T295" s="216">
        <f t="shared" si="366"/>
        <v>24609.920777627143</v>
      </c>
      <c r="U295" s="217"/>
    </row>
    <row r="296" spans="12:21" x14ac:dyDescent="0.35">
      <c r="L296" s="235">
        <v>51592</v>
      </c>
      <c r="M296" s="236"/>
      <c r="N296" s="157">
        <f t="shared" si="363"/>
        <v>1045.8310820768397</v>
      </c>
      <c r="O296" s="158"/>
      <c r="P296" s="216">
        <f t="shared" si="364"/>
        <v>38.965707897909645</v>
      </c>
      <c r="Q296" s="158"/>
      <c r="R296" s="157">
        <f t="shared" si="365"/>
        <v>1006.8653741789301</v>
      </c>
      <c r="S296" s="158"/>
      <c r="T296" s="216">
        <f t="shared" si="366"/>
        <v>23603.055403448212</v>
      </c>
      <c r="U296" s="217"/>
    </row>
    <row r="297" spans="12:21" x14ac:dyDescent="0.35">
      <c r="L297" s="165">
        <v>51622</v>
      </c>
      <c r="M297" s="166"/>
      <c r="N297" s="157">
        <f t="shared" si="363"/>
        <v>1045.8310820768397</v>
      </c>
      <c r="O297" s="158"/>
      <c r="P297" s="216">
        <f t="shared" si="364"/>
        <v>37.371504388792999</v>
      </c>
      <c r="Q297" s="158"/>
      <c r="R297" s="157">
        <f t="shared" si="365"/>
        <v>1008.4595776880467</v>
      </c>
      <c r="S297" s="158"/>
      <c r="T297" s="216">
        <f t="shared" si="366"/>
        <v>22594.595825760167</v>
      </c>
      <c r="U297" s="217"/>
    </row>
    <row r="298" spans="12:21" x14ac:dyDescent="0.35">
      <c r="L298" s="235">
        <v>51653</v>
      </c>
      <c r="M298" s="236"/>
      <c r="N298" s="157">
        <f t="shared" si="363"/>
        <v>1045.8310820768397</v>
      </c>
      <c r="O298" s="158"/>
      <c r="P298" s="216">
        <f t="shared" si="364"/>
        <v>35.774776724120265</v>
      </c>
      <c r="Q298" s="158"/>
      <c r="R298" s="157">
        <f t="shared" si="365"/>
        <v>1010.0563053527195</v>
      </c>
      <c r="S298" s="158"/>
      <c r="T298" s="216">
        <f t="shared" si="366"/>
        <v>21584.539520407448</v>
      </c>
      <c r="U298" s="217"/>
    </row>
    <row r="299" spans="12:21" x14ac:dyDescent="0.35">
      <c r="L299" s="165">
        <v>51683</v>
      </c>
      <c r="M299" s="166"/>
      <c r="N299" s="157">
        <f t="shared" si="363"/>
        <v>1045.8310820768397</v>
      </c>
      <c r="O299" s="158"/>
      <c r="P299" s="216">
        <f t="shared" si="364"/>
        <v>34.175520907311792</v>
      </c>
      <c r="Q299" s="158"/>
      <c r="R299" s="157">
        <f t="shared" si="365"/>
        <v>1011.6555611695279</v>
      </c>
      <c r="S299" s="158"/>
      <c r="T299" s="216">
        <f t="shared" si="366"/>
        <v>20572.883959237919</v>
      </c>
      <c r="U299" s="217"/>
    </row>
    <row r="300" spans="12:21" x14ac:dyDescent="0.35">
      <c r="L300" s="235">
        <v>51714</v>
      </c>
      <c r="M300" s="236"/>
      <c r="N300" s="157">
        <f t="shared" si="363"/>
        <v>1045.8310820768397</v>
      </c>
      <c r="O300" s="158"/>
      <c r="P300" s="216">
        <f t="shared" si="364"/>
        <v>32.573732935460036</v>
      </c>
      <c r="Q300" s="158"/>
      <c r="R300" s="157">
        <f t="shared" si="365"/>
        <v>1013.2573491413797</v>
      </c>
      <c r="S300" s="158"/>
      <c r="T300" s="216">
        <f t="shared" si="366"/>
        <v>19559.62661009654</v>
      </c>
      <c r="U300" s="217"/>
    </row>
    <row r="301" spans="12:21" x14ac:dyDescent="0.35">
      <c r="L301" s="165">
        <v>51745</v>
      </c>
      <c r="M301" s="166"/>
      <c r="N301" s="157">
        <f t="shared" si="363"/>
        <v>1045.8310820768397</v>
      </c>
      <c r="O301" s="158"/>
      <c r="P301" s="216">
        <f t="shared" si="364"/>
        <v>30.96940879931952</v>
      </c>
      <c r="Q301" s="158"/>
      <c r="R301" s="157">
        <f t="shared" si="365"/>
        <v>1014.8616732775203</v>
      </c>
      <c r="S301" s="158"/>
      <c r="T301" s="216">
        <f t="shared" si="366"/>
        <v>18544.764936819021</v>
      </c>
      <c r="U301" s="217"/>
    </row>
    <row r="302" spans="12:21" x14ac:dyDescent="0.35">
      <c r="L302" s="235">
        <v>51775</v>
      </c>
      <c r="M302" s="236"/>
      <c r="N302" s="157">
        <f t="shared" si="363"/>
        <v>1045.8310820768397</v>
      </c>
      <c r="O302" s="158"/>
      <c r="P302" s="216">
        <f t="shared" si="364"/>
        <v>29.362544483296784</v>
      </c>
      <c r="Q302" s="158"/>
      <c r="R302" s="157">
        <f t="shared" si="365"/>
        <v>1016.4685375935429</v>
      </c>
      <c r="S302" s="158"/>
      <c r="T302" s="216">
        <f t="shared" si="366"/>
        <v>17528.296399225477</v>
      </c>
      <c r="U302" s="217"/>
    </row>
    <row r="303" spans="12:21" x14ac:dyDescent="0.35">
      <c r="L303" s="165">
        <v>51806</v>
      </c>
      <c r="M303" s="166"/>
      <c r="N303" s="157">
        <f t="shared" si="363"/>
        <v>1045.8310820768397</v>
      </c>
      <c r="O303" s="158"/>
      <c r="P303" s="216">
        <f t="shared" si="364"/>
        <v>27.75313596544034</v>
      </c>
      <c r="Q303" s="158"/>
      <c r="R303" s="157">
        <f t="shared" si="365"/>
        <v>1018.0779461113993</v>
      </c>
      <c r="S303" s="158"/>
      <c r="T303" s="216">
        <f t="shared" si="366"/>
        <v>16510.218453114077</v>
      </c>
      <c r="U303" s="217"/>
    </row>
    <row r="304" spans="12:21" x14ac:dyDescent="0.35">
      <c r="L304" s="235">
        <v>51836</v>
      </c>
      <c r="M304" s="236"/>
      <c r="N304" s="157">
        <f t="shared" si="363"/>
        <v>1045.8310820768397</v>
      </c>
      <c r="O304" s="158"/>
      <c r="P304" s="216">
        <f t="shared" si="364"/>
        <v>26.141179217430622</v>
      </c>
      <c r="Q304" s="158"/>
      <c r="R304" s="157">
        <f t="shared" si="365"/>
        <v>1019.6899028594091</v>
      </c>
      <c r="S304" s="158"/>
      <c r="T304" s="216">
        <f t="shared" si="366"/>
        <v>15490.528550254669</v>
      </c>
      <c r="U304" s="217"/>
    </row>
    <row r="305" spans="12:21" x14ac:dyDescent="0.35">
      <c r="L305" s="165">
        <v>51867</v>
      </c>
      <c r="M305" s="166"/>
      <c r="N305" s="157">
        <f t="shared" si="363"/>
        <v>1045.8310820768397</v>
      </c>
      <c r="O305" s="158"/>
      <c r="P305" s="216">
        <f t="shared" si="364"/>
        <v>24.526670204569893</v>
      </c>
      <c r="Q305" s="158"/>
      <c r="R305" s="157">
        <f t="shared" si="365"/>
        <v>1021.3044118722698</v>
      </c>
      <c r="S305" s="158"/>
      <c r="T305" s="216">
        <f t="shared" si="366"/>
        <v>14469.224138382398</v>
      </c>
      <c r="U305" s="217"/>
    </row>
    <row r="306" spans="12:21" x14ac:dyDescent="0.35">
      <c r="L306" s="235">
        <v>51898</v>
      </c>
      <c r="M306" s="236"/>
      <c r="N306" s="157">
        <f t="shared" si="363"/>
        <v>1045.8310820768397</v>
      </c>
      <c r="O306" s="158"/>
      <c r="P306" s="216">
        <f t="shared" si="364"/>
        <v>22.909604885772129</v>
      </c>
      <c r="Q306" s="158"/>
      <c r="R306" s="157">
        <f t="shared" si="365"/>
        <v>1022.9214771910675</v>
      </c>
      <c r="S306" s="158"/>
      <c r="T306" s="216">
        <f t="shared" si="366"/>
        <v>13446.30266119133</v>
      </c>
      <c r="U306" s="217"/>
    </row>
    <row r="307" spans="12:21" x14ac:dyDescent="0.35">
      <c r="L307" s="165">
        <v>51926</v>
      </c>
      <c r="M307" s="166"/>
      <c r="N307" s="157">
        <f t="shared" si="363"/>
        <v>1045.8310820768397</v>
      </c>
      <c r="O307" s="158"/>
      <c r="P307" s="216">
        <f t="shared" si="364"/>
        <v>21.28997921355294</v>
      </c>
      <c r="Q307" s="158"/>
      <c r="R307" s="157">
        <f t="shared" si="365"/>
        <v>1024.5411028632868</v>
      </c>
      <c r="S307" s="158"/>
      <c r="T307" s="216">
        <f t="shared" si="366"/>
        <v>12421.761558328044</v>
      </c>
      <c r="U307" s="217"/>
    </row>
    <row r="308" spans="12:21" x14ac:dyDescent="0.35">
      <c r="L308" s="235">
        <v>51957</v>
      </c>
      <c r="M308" s="236"/>
      <c r="N308" s="157">
        <f t="shared" si="363"/>
        <v>1045.8310820768397</v>
      </c>
      <c r="O308" s="158"/>
      <c r="P308" s="216">
        <f t="shared" si="364"/>
        <v>19.667789134019401</v>
      </c>
      <c r="Q308" s="158"/>
      <c r="R308" s="157">
        <f t="shared" si="365"/>
        <v>1026.1632929428204</v>
      </c>
      <c r="S308" s="158"/>
      <c r="T308" s="216">
        <f t="shared" si="366"/>
        <v>11395.598265385224</v>
      </c>
      <c r="U308" s="217"/>
    </row>
    <row r="309" spans="12:21" x14ac:dyDescent="0.35">
      <c r="L309" s="165">
        <v>51987</v>
      </c>
      <c r="M309" s="166"/>
      <c r="N309" s="157">
        <f t="shared" si="363"/>
        <v>1045.8310820768397</v>
      </c>
      <c r="O309" s="158"/>
      <c r="P309" s="216">
        <f t="shared" si="364"/>
        <v>18.043030586859938</v>
      </c>
      <c r="Q309" s="158"/>
      <c r="R309" s="157">
        <f t="shared" si="365"/>
        <v>1027.7880514899798</v>
      </c>
      <c r="S309" s="158"/>
      <c r="T309" s="216">
        <f t="shared" si="366"/>
        <v>10367.810213895245</v>
      </c>
      <c r="U309" s="217"/>
    </row>
    <row r="310" spans="12:21" x14ac:dyDescent="0.35">
      <c r="L310" s="235">
        <v>52018</v>
      </c>
      <c r="M310" s="236"/>
      <c r="N310" s="157">
        <f t="shared" si="363"/>
        <v>1045.8310820768397</v>
      </c>
      <c r="O310" s="158"/>
      <c r="P310" s="216">
        <f t="shared" si="364"/>
        <v>16.415699505334139</v>
      </c>
      <c r="Q310" s="158"/>
      <c r="R310" s="157">
        <f t="shared" si="365"/>
        <v>1029.4153825715057</v>
      </c>
      <c r="S310" s="158"/>
      <c r="T310" s="216">
        <f t="shared" si="366"/>
        <v>9338.3948313237397</v>
      </c>
      <c r="U310" s="217"/>
    </row>
    <row r="311" spans="12:21" x14ac:dyDescent="0.35">
      <c r="L311" s="165">
        <v>52048</v>
      </c>
      <c r="M311" s="166"/>
      <c r="N311" s="157">
        <f t="shared" si="363"/>
        <v>1045.8310820768397</v>
      </c>
      <c r="O311" s="158"/>
      <c r="P311" s="216">
        <f t="shared" si="364"/>
        <v>14.785791816262588</v>
      </c>
      <c r="Q311" s="158"/>
      <c r="R311" s="157">
        <f t="shared" si="365"/>
        <v>1031.0452902605771</v>
      </c>
      <c r="S311" s="158"/>
      <c r="T311" s="216">
        <f t="shared" si="366"/>
        <v>8307.3495410631622</v>
      </c>
      <c r="U311" s="217"/>
    </row>
    <row r="312" spans="12:21" x14ac:dyDescent="0.35">
      <c r="L312" s="235">
        <v>52079</v>
      </c>
      <c r="M312" s="236"/>
      <c r="N312" s="157">
        <f t="shared" si="363"/>
        <v>1045.8310820768397</v>
      </c>
      <c r="O312" s="158"/>
      <c r="P312" s="216">
        <f t="shared" si="364"/>
        <v>13.153303440016673</v>
      </c>
      <c r="Q312" s="158"/>
      <c r="R312" s="157">
        <f t="shared" si="365"/>
        <v>1032.6777786368229</v>
      </c>
      <c r="S312" s="158"/>
      <c r="T312" s="216">
        <f t="shared" si="366"/>
        <v>7274.6717624263392</v>
      </c>
      <c r="U312" s="217"/>
    </row>
    <row r="313" spans="12:21" x14ac:dyDescent="0.35">
      <c r="L313" s="165">
        <v>52110</v>
      </c>
      <c r="M313" s="166"/>
      <c r="N313" s="157">
        <f t="shared" si="363"/>
        <v>1045.8310820768397</v>
      </c>
      <c r="O313" s="158"/>
      <c r="P313" s="216">
        <f t="shared" si="364"/>
        <v>11.51823029050837</v>
      </c>
      <c r="Q313" s="158"/>
      <c r="R313" s="157">
        <f t="shared" si="365"/>
        <v>1034.3128517863313</v>
      </c>
      <c r="S313" s="158"/>
      <c r="T313" s="216">
        <f t="shared" si="366"/>
        <v>6240.3589106400077</v>
      </c>
      <c r="U313" s="217"/>
    </row>
    <row r="314" spans="12:21" x14ac:dyDescent="0.35">
      <c r="L314" s="235">
        <v>52140</v>
      </c>
      <c r="M314" s="236"/>
      <c r="N314" s="157">
        <f t="shared" si="363"/>
        <v>1045.8310820768397</v>
      </c>
      <c r="O314" s="158"/>
      <c r="P314" s="216">
        <f t="shared" si="364"/>
        <v>9.8805682751800123</v>
      </c>
      <c r="Q314" s="158"/>
      <c r="R314" s="157">
        <f t="shared" si="365"/>
        <v>1035.9505138016598</v>
      </c>
      <c r="S314" s="158"/>
      <c r="T314" s="216">
        <f t="shared" si="366"/>
        <v>5204.4083968383475</v>
      </c>
      <c r="U314" s="217"/>
    </row>
    <row r="315" spans="12:21" x14ac:dyDescent="0.35">
      <c r="L315" s="165">
        <v>52171</v>
      </c>
      <c r="M315" s="166"/>
      <c r="N315" s="157">
        <f t="shared" si="363"/>
        <v>1045.8310820768397</v>
      </c>
      <c r="O315" s="158"/>
      <c r="P315" s="216">
        <f t="shared" si="364"/>
        <v>8.2403132949940492</v>
      </c>
      <c r="Q315" s="158"/>
      <c r="R315" s="157">
        <f t="shared" si="365"/>
        <v>1037.5907687818458</v>
      </c>
      <c r="S315" s="158"/>
      <c r="T315" s="216">
        <f t="shared" si="366"/>
        <v>4166.8176280565021</v>
      </c>
      <c r="U315" s="217"/>
    </row>
    <row r="316" spans="12:21" x14ac:dyDescent="0.35">
      <c r="L316" s="235">
        <v>52201</v>
      </c>
      <c r="M316" s="236"/>
      <c r="N316" s="157">
        <f t="shared" si="363"/>
        <v>1045.8310820768397</v>
      </c>
      <c r="O316" s="158"/>
      <c r="P316" s="216">
        <f t="shared" si="364"/>
        <v>6.5974612444227949</v>
      </c>
      <c r="Q316" s="158"/>
      <c r="R316" s="157">
        <f t="shared" si="365"/>
        <v>1039.2336208324168</v>
      </c>
      <c r="S316" s="158"/>
      <c r="T316" s="216">
        <f t="shared" si="366"/>
        <v>3127.5840072240853</v>
      </c>
      <c r="U316" s="217"/>
    </row>
    <row r="317" spans="12:21" x14ac:dyDescent="0.35">
      <c r="L317" s="165">
        <v>52232</v>
      </c>
      <c r="M317" s="166"/>
      <c r="N317" s="157">
        <f t="shared" si="363"/>
        <v>1045.8310820768397</v>
      </c>
      <c r="O317" s="158"/>
      <c r="P317" s="216">
        <f t="shared" si="364"/>
        <v>4.9520080114381351</v>
      </c>
      <c r="Q317" s="158"/>
      <c r="R317" s="157">
        <f t="shared" si="365"/>
        <v>1040.8790740654015</v>
      </c>
      <c r="S317" s="158"/>
      <c r="T317" s="216">
        <f t="shared" si="366"/>
        <v>2086.7049331586841</v>
      </c>
      <c r="U317" s="217"/>
    </row>
    <row r="318" spans="12:21" x14ac:dyDescent="0.35">
      <c r="L318" s="235">
        <v>52263</v>
      </c>
      <c r="M318" s="236"/>
      <c r="N318" s="157">
        <f t="shared" si="363"/>
        <v>1045.8310820768397</v>
      </c>
      <c r="O318" s="158"/>
      <c r="P318" s="216">
        <f t="shared" si="364"/>
        <v>3.3039494775012499</v>
      </c>
      <c r="Q318" s="158"/>
      <c r="R318" s="157">
        <f t="shared" si="365"/>
        <v>1042.5271325993385</v>
      </c>
      <c r="S318" s="158"/>
      <c r="T318" s="216">
        <f t="shared" si="366"/>
        <v>1044.1778005593455</v>
      </c>
      <c r="U318" s="217"/>
    </row>
    <row r="319" spans="12:21" ht="16" thickBot="1" x14ac:dyDescent="0.4">
      <c r="L319" s="237">
        <v>52291</v>
      </c>
      <c r="M319" s="238"/>
      <c r="N319" s="222">
        <f t="shared" si="363"/>
        <v>1045.8310820768397</v>
      </c>
      <c r="O319" s="220"/>
      <c r="P319" s="218">
        <f t="shared" si="364"/>
        <v>1.653281517552297</v>
      </c>
      <c r="Q319" s="220"/>
      <c r="R319" s="222">
        <f t="shared" si="365"/>
        <v>1044.1778005592873</v>
      </c>
      <c r="S319" s="220"/>
      <c r="T319" s="218">
        <f t="shared" si="366"/>
        <v>5.8207660913467407E-11</v>
      </c>
      <c r="U319" s="219"/>
    </row>
    <row r="320" spans="12:21" ht="16" thickTop="1" x14ac:dyDescent="0.35"/>
    <row r="336" spans="23:32" x14ac:dyDescent="0.35">
      <c r="W336" s="123"/>
      <c r="X336" s="123"/>
      <c r="Y336" s="123"/>
      <c r="Z336" s="123"/>
      <c r="AA336" s="123"/>
      <c r="AB336" s="123"/>
      <c r="AC336" s="123"/>
      <c r="AD336" s="123"/>
      <c r="AE336" s="123"/>
      <c r="AF336" s="123"/>
    </row>
    <row r="337" spans="23:32" x14ac:dyDescent="0.35">
      <c r="W337" s="123"/>
      <c r="X337" s="123"/>
      <c r="Y337" s="123"/>
      <c r="Z337" s="123"/>
      <c r="AA337" s="123"/>
      <c r="AB337" s="123"/>
      <c r="AC337" s="123"/>
      <c r="AD337" s="123"/>
      <c r="AE337" s="123"/>
      <c r="AF337" s="123"/>
    </row>
    <row r="338" spans="23:32" x14ac:dyDescent="0.35">
      <c r="W338" s="123"/>
      <c r="X338" s="123"/>
      <c r="Y338" s="123"/>
      <c r="Z338" s="123"/>
      <c r="AA338" s="123"/>
      <c r="AB338" s="123"/>
      <c r="AC338" s="123"/>
      <c r="AD338" s="123"/>
      <c r="AE338" s="123"/>
      <c r="AF338" s="123"/>
    </row>
    <row r="339" spans="23:32" x14ac:dyDescent="0.35">
      <c r="W339" s="123"/>
      <c r="X339" s="123"/>
      <c r="Y339" s="123"/>
      <c r="Z339" s="123"/>
      <c r="AA339" s="123"/>
      <c r="AB339" s="123"/>
      <c r="AC339" s="123"/>
      <c r="AD339" s="123"/>
      <c r="AE339" s="123"/>
      <c r="AF339" s="123"/>
    </row>
    <row r="340" spans="23:32" x14ac:dyDescent="0.35">
      <c r="W340" s="123"/>
      <c r="X340" s="123"/>
      <c r="Y340" s="123"/>
      <c r="Z340" s="123"/>
      <c r="AA340" s="123"/>
      <c r="AB340" s="123"/>
      <c r="AC340" s="123"/>
      <c r="AD340" s="123"/>
      <c r="AE340" s="123"/>
      <c r="AF340" s="123"/>
    </row>
    <row r="341" spans="23:32" x14ac:dyDescent="0.35">
      <c r="W341" s="123"/>
      <c r="X341" s="123"/>
      <c r="Y341" s="123"/>
      <c r="Z341" s="123"/>
      <c r="AA341" s="123"/>
      <c r="AB341" s="123"/>
      <c r="AC341" s="123"/>
      <c r="AD341" s="123"/>
      <c r="AE341" s="123"/>
      <c r="AF341" s="123"/>
    </row>
    <row r="342" spans="23:32" x14ac:dyDescent="0.35">
      <c r="W342" s="123"/>
      <c r="X342" s="123"/>
      <c r="Y342" s="123"/>
      <c r="Z342" s="123"/>
      <c r="AA342" s="123"/>
      <c r="AB342" s="123"/>
      <c r="AC342" s="123"/>
      <c r="AD342" s="123"/>
      <c r="AE342" s="123"/>
      <c r="AF342" s="123"/>
    </row>
    <row r="343" spans="23:32" x14ac:dyDescent="0.35">
      <c r="W343" s="123"/>
      <c r="X343" s="123"/>
      <c r="Y343" s="123"/>
      <c r="Z343" s="123"/>
      <c r="AA343" s="123"/>
      <c r="AB343" s="123"/>
      <c r="AC343" s="123"/>
      <c r="AD343" s="123"/>
      <c r="AE343" s="123"/>
      <c r="AF343" s="123"/>
    </row>
  </sheetData>
  <sheetProtection password="C1A2" sheet="1" formatCells="0" formatColumns="0" formatRows="0" insertColumns="0" insertRows="0" insertHyperlinks="0" deleteColumns="0" deleteRows="0" sort="0" autoFilter="0" pivotTables="0"/>
  <mergeCells count="2502">
    <mergeCell ref="G61:J62"/>
    <mergeCell ref="A61:F62"/>
    <mergeCell ref="I67:J78"/>
    <mergeCell ref="A63:F64"/>
    <mergeCell ref="G63:J64"/>
    <mergeCell ref="A51:F52"/>
    <mergeCell ref="G51:J52"/>
    <mergeCell ref="A65:J66"/>
    <mergeCell ref="A67:B68"/>
    <mergeCell ref="A69:B70"/>
    <mergeCell ref="A71:B72"/>
    <mergeCell ref="A73:B74"/>
    <mergeCell ref="A75:B76"/>
    <mergeCell ref="A77:B78"/>
    <mergeCell ref="C67:D68"/>
    <mergeCell ref="C69:D70"/>
    <mergeCell ref="C71:D72"/>
    <mergeCell ref="C73:D74"/>
    <mergeCell ref="C75:D76"/>
    <mergeCell ref="C77:D78"/>
    <mergeCell ref="E67:F68"/>
    <mergeCell ref="G67:H68"/>
    <mergeCell ref="E69:F70"/>
    <mergeCell ref="E71:F72"/>
    <mergeCell ref="E73:F74"/>
    <mergeCell ref="E75:F76"/>
    <mergeCell ref="E77:F78"/>
    <mergeCell ref="G69:H70"/>
    <mergeCell ref="G71:H72"/>
    <mergeCell ref="G73:H74"/>
    <mergeCell ref="G75:H76"/>
    <mergeCell ref="G77:H78"/>
    <mergeCell ref="G21:J22"/>
    <mergeCell ref="G25:J26"/>
    <mergeCell ref="G27:J28"/>
    <mergeCell ref="A23:F24"/>
    <mergeCell ref="G23:J24"/>
    <mergeCell ref="A29:F30"/>
    <mergeCell ref="G29:J30"/>
    <mergeCell ref="A31:J32"/>
    <mergeCell ref="A33:F34"/>
    <mergeCell ref="G33:J34"/>
    <mergeCell ref="A35:F36"/>
    <mergeCell ref="G35:J36"/>
    <mergeCell ref="A49:F50"/>
    <mergeCell ref="G49:J50"/>
    <mergeCell ref="A43:F44"/>
    <mergeCell ref="G43:J44"/>
    <mergeCell ref="A47:F48"/>
    <mergeCell ref="G47:J48"/>
    <mergeCell ref="A39:F40"/>
    <mergeCell ref="G39:J40"/>
    <mergeCell ref="G45:J46"/>
    <mergeCell ref="A45:F46"/>
    <mergeCell ref="G37:J38"/>
    <mergeCell ref="A37:F38"/>
    <mergeCell ref="G57:J58"/>
    <mergeCell ref="A57:F58"/>
    <mergeCell ref="A59:F60"/>
    <mergeCell ref="G59:J60"/>
    <mergeCell ref="A1:J2"/>
    <mergeCell ref="A3:F4"/>
    <mergeCell ref="G3:J4"/>
    <mergeCell ref="A5:F6"/>
    <mergeCell ref="G5:J6"/>
    <mergeCell ref="A7:F8"/>
    <mergeCell ref="G7:J8"/>
    <mergeCell ref="A9:F10"/>
    <mergeCell ref="G9:J10"/>
    <mergeCell ref="BA30:BB31"/>
    <mergeCell ref="AC26:AD27"/>
    <mergeCell ref="AE26:AF27"/>
    <mergeCell ref="AG26:AH27"/>
    <mergeCell ref="AI26:AJ27"/>
    <mergeCell ref="AK26:AL27"/>
    <mergeCell ref="AM26:AN27"/>
    <mergeCell ref="AO26:AP27"/>
    <mergeCell ref="AQ26:AR27"/>
    <mergeCell ref="AS26:AT27"/>
    <mergeCell ref="AU26:AV27"/>
    <mergeCell ref="AW26:AX27"/>
    <mergeCell ref="A13:F14"/>
    <mergeCell ref="G13:J14"/>
    <mergeCell ref="A15:F16"/>
    <mergeCell ref="A17:F18"/>
    <mergeCell ref="A19:F20"/>
    <mergeCell ref="G15:J16"/>
    <mergeCell ref="G17:J18"/>
    <mergeCell ref="G19:J20"/>
    <mergeCell ref="A21:F22"/>
    <mergeCell ref="A25:F26"/>
    <mergeCell ref="A27:F28"/>
    <mergeCell ref="AK71:AL72"/>
    <mergeCell ref="AM71:AN72"/>
    <mergeCell ref="AO71:AP72"/>
    <mergeCell ref="AQ71:AR72"/>
    <mergeCell ref="AS71:AT72"/>
    <mergeCell ref="AU71:AV72"/>
    <mergeCell ref="AA30:AB31"/>
    <mergeCell ref="AC30:AD31"/>
    <mergeCell ref="AE30:AF31"/>
    <mergeCell ref="AG30:AH31"/>
    <mergeCell ref="AI30:AJ31"/>
    <mergeCell ref="AK30:AL31"/>
    <mergeCell ref="AM30:AN31"/>
    <mergeCell ref="AO30:AP31"/>
    <mergeCell ref="AQ30:AR31"/>
    <mergeCell ref="AS30:AT31"/>
    <mergeCell ref="AU30:AV31"/>
    <mergeCell ref="AO32:AP33"/>
    <mergeCell ref="AQ32:AR33"/>
    <mergeCell ref="AS32:AT33"/>
    <mergeCell ref="AU32:AV33"/>
    <mergeCell ref="AO40:AP41"/>
    <mergeCell ref="AQ40:AR41"/>
    <mergeCell ref="AS40:AT41"/>
    <mergeCell ref="AU40:AV41"/>
    <mergeCell ref="AA46:AB47"/>
    <mergeCell ref="AC46:AD47"/>
    <mergeCell ref="AE46:AF47"/>
    <mergeCell ref="L1:U2"/>
    <mergeCell ref="L3:Q4"/>
    <mergeCell ref="L5:Q6"/>
    <mergeCell ref="L7:Q8"/>
    <mergeCell ref="L9:Q10"/>
    <mergeCell ref="BQ65:BR66"/>
    <mergeCell ref="BS65:BT66"/>
    <mergeCell ref="BU65:BV66"/>
    <mergeCell ref="BW65:BX66"/>
    <mergeCell ref="BY65:BZ66"/>
    <mergeCell ref="BY67:BZ68"/>
    <mergeCell ref="BA69:BB70"/>
    <mergeCell ref="BC69:BD70"/>
    <mergeCell ref="BE69:BF70"/>
    <mergeCell ref="BG69:BH70"/>
    <mergeCell ref="BI69:BJ70"/>
    <mergeCell ref="BK69:BL70"/>
    <mergeCell ref="BM69:BN70"/>
    <mergeCell ref="BO69:BP70"/>
    <mergeCell ref="BQ69:BR70"/>
    <mergeCell ref="BS69:BT70"/>
    <mergeCell ref="BU69:BV70"/>
    <mergeCell ref="BW69:BX70"/>
    <mergeCell ref="BY69:BZ70"/>
    <mergeCell ref="AW30:AX31"/>
    <mergeCell ref="AY30:AZ31"/>
    <mergeCell ref="T19:U19"/>
    <mergeCell ref="M19:R19"/>
    <mergeCell ref="BK65:BL66"/>
    <mergeCell ref="BM65:BN66"/>
    <mergeCell ref="BO65:BP66"/>
    <mergeCell ref="L18:M18"/>
    <mergeCell ref="N18:O18"/>
    <mergeCell ref="P18:Q18"/>
    <mergeCell ref="R18:S18"/>
    <mergeCell ref="T18:U18"/>
    <mergeCell ref="L15:Q16"/>
    <mergeCell ref="R3:U4"/>
    <mergeCell ref="R5:U6"/>
    <mergeCell ref="R7:U8"/>
    <mergeCell ref="R9:U10"/>
    <mergeCell ref="R15:U16"/>
    <mergeCell ref="L11:Q12"/>
    <mergeCell ref="R11:U12"/>
    <mergeCell ref="R13:U14"/>
    <mergeCell ref="L13:Q14"/>
    <mergeCell ref="L37:M37"/>
    <mergeCell ref="L38:M38"/>
    <mergeCell ref="L39:M39"/>
    <mergeCell ref="N38:O38"/>
    <mergeCell ref="N39:O39"/>
    <mergeCell ref="P37:Q37"/>
    <mergeCell ref="P38:Q38"/>
    <mergeCell ref="P39:Q39"/>
    <mergeCell ref="R32:S32"/>
    <mergeCell ref="R33:S33"/>
    <mergeCell ref="R34:S34"/>
    <mergeCell ref="T33:U33"/>
    <mergeCell ref="T34:U34"/>
    <mergeCell ref="T35:U35"/>
    <mergeCell ref="T36:U36"/>
    <mergeCell ref="T37:U37"/>
    <mergeCell ref="P21:Q21"/>
    <mergeCell ref="T20:U20"/>
    <mergeCell ref="L40:M40"/>
    <mergeCell ref="L41:M41"/>
    <mergeCell ref="L32:M32"/>
    <mergeCell ref="L33:M33"/>
    <mergeCell ref="L34:M34"/>
    <mergeCell ref="L35:M35"/>
    <mergeCell ref="L36:M36"/>
    <mergeCell ref="L27:M27"/>
    <mergeCell ref="L28:M28"/>
    <mergeCell ref="L29:M29"/>
    <mergeCell ref="L30:M30"/>
    <mergeCell ref="L31:M31"/>
    <mergeCell ref="L22:M22"/>
    <mergeCell ref="L23:M23"/>
    <mergeCell ref="L24:M24"/>
    <mergeCell ref="L25:M25"/>
    <mergeCell ref="L26:M26"/>
    <mergeCell ref="L57:M57"/>
    <mergeCell ref="L58:M58"/>
    <mergeCell ref="L59:M59"/>
    <mergeCell ref="L60:M60"/>
    <mergeCell ref="L61:M61"/>
    <mergeCell ref="L52:M52"/>
    <mergeCell ref="L53:M53"/>
    <mergeCell ref="L54:M54"/>
    <mergeCell ref="L55:M55"/>
    <mergeCell ref="L56:M56"/>
    <mergeCell ref="L47:M47"/>
    <mergeCell ref="L48:M48"/>
    <mergeCell ref="L49:M49"/>
    <mergeCell ref="L50:M50"/>
    <mergeCell ref="L51:M51"/>
    <mergeCell ref="L42:M42"/>
    <mergeCell ref="L43:M43"/>
    <mergeCell ref="L44:M44"/>
    <mergeCell ref="L45:M45"/>
    <mergeCell ref="L46:M46"/>
    <mergeCell ref="L77:M77"/>
    <mergeCell ref="L78:M78"/>
    <mergeCell ref="L79:M79"/>
    <mergeCell ref="L80:M80"/>
    <mergeCell ref="L81:M81"/>
    <mergeCell ref="L72:M72"/>
    <mergeCell ref="L73:M73"/>
    <mergeCell ref="L74:M74"/>
    <mergeCell ref="L75:M75"/>
    <mergeCell ref="L76:M76"/>
    <mergeCell ref="L67:M67"/>
    <mergeCell ref="L68:M68"/>
    <mergeCell ref="L69:M69"/>
    <mergeCell ref="L70:M70"/>
    <mergeCell ref="L71:M71"/>
    <mergeCell ref="L62:M62"/>
    <mergeCell ref="L63:M63"/>
    <mergeCell ref="L64:M64"/>
    <mergeCell ref="L65:M65"/>
    <mergeCell ref="L66:M66"/>
    <mergeCell ref="L97:M97"/>
    <mergeCell ref="L98:M98"/>
    <mergeCell ref="L99:M99"/>
    <mergeCell ref="L100:M100"/>
    <mergeCell ref="L101:M101"/>
    <mergeCell ref="L92:M92"/>
    <mergeCell ref="L93:M93"/>
    <mergeCell ref="L94:M94"/>
    <mergeCell ref="L95:M95"/>
    <mergeCell ref="L96:M96"/>
    <mergeCell ref="L87:M87"/>
    <mergeCell ref="L88:M88"/>
    <mergeCell ref="L89:M89"/>
    <mergeCell ref="L90:M90"/>
    <mergeCell ref="L91:M91"/>
    <mergeCell ref="L82:M82"/>
    <mergeCell ref="L83:M83"/>
    <mergeCell ref="L84:M84"/>
    <mergeCell ref="L85:M85"/>
    <mergeCell ref="L86:M86"/>
    <mergeCell ref="L117:M117"/>
    <mergeCell ref="L118:M118"/>
    <mergeCell ref="L119:M119"/>
    <mergeCell ref="L120:M120"/>
    <mergeCell ref="L121:M121"/>
    <mergeCell ref="L112:M112"/>
    <mergeCell ref="L113:M113"/>
    <mergeCell ref="L114:M114"/>
    <mergeCell ref="L115:M115"/>
    <mergeCell ref="L116:M116"/>
    <mergeCell ref="L107:M107"/>
    <mergeCell ref="L108:M108"/>
    <mergeCell ref="L109:M109"/>
    <mergeCell ref="L110:M110"/>
    <mergeCell ref="L111:M111"/>
    <mergeCell ref="L102:M102"/>
    <mergeCell ref="L103:M103"/>
    <mergeCell ref="L104:M104"/>
    <mergeCell ref="L105:M105"/>
    <mergeCell ref="L106:M106"/>
    <mergeCell ref="L137:M137"/>
    <mergeCell ref="L138:M138"/>
    <mergeCell ref="L139:M139"/>
    <mergeCell ref="L140:M140"/>
    <mergeCell ref="L141:M141"/>
    <mergeCell ref="L132:M132"/>
    <mergeCell ref="L133:M133"/>
    <mergeCell ref="L134:M134"/>
    <mergeCell ref="L135:M135"/>
    <mergeCell ref="L136:M136"/>
    <mergeCell ref="L127:M127"/>
    <mergeCell ref="L128:M128"/>
    <mergeCell ref="L129:M129"/>
    <mergeCell ref="L130:M130"/>
    <mergeCell ref="L131:M131"/>
    <mergeCell ref="L122:M122"/>
    <mergeCell ref="L123:M123"/>
    <mergeCell ref="L124:M124"/>
    <mergeCell ref="L125:M125"/>
    <mergeCell ref="L126:M126"/>
    <mergeCell ref="L157:M157"/>
    <mergeCell ref="L158:M158"/>
    <mergeCell ref="L159:M159"/>
    <mergeCell ref="L160:M160"/>
    <mergeCell ref="L161:M161"/>
    <mergeCell ref="L152:M152"/>
    <mergeCell ref="L153:M153"/>
    <mergeCell ref="L154:M154"/>
    <mergeCell ref="L155:M155"/>
    <mergeCell ref="L156:M156"/>
    <mergeCell ref="L147:M147"/>
    <mergeCell ref="L148:M148"/>
    <mergeCell ref="L149:M149"/>
    <mergeCell ref="L150:M150"/>
    <mergeCell ref="L151:M151"/>
    <mergeCell ref="L142:M142"/>
    <mergeCell ref="L143:M143"/>
    <mergeCell ref="L144:M144"/>
    <mergeCell ref="L145:M145"/>
    <mergeCell ref="L146:M146"/>
    <mergeCell ref="L177:M177"/>
    <mergeCell ref="L178:M178"/>
    <mergeCell ref="L179:M179"/>
    <mergeCell ref="L180:M180"/>
    <mergeCell ref="L181:M181"/>
    <mergeCell ref="L172:M172"/>
    <mergeCell ref="L173:M173"/>
    <mergeCell ref="L174:M174"/>
    <mergeCell ref="L175:M175"/>
    <mergeCell ref="L176:M176"/>
    <mergeCell ref="L167:M167"/>
    <mergeCell ref="L168:M168"/>
    <mergeCell ref="L169:M169"/>
    <mergeCell ref="L170:M170"/>
    <mergeCell ref="L171:M171"/>
    <mergeCell ref="L162:M162"/>
    <mergeCell ref="L163:M163"/>
    <mergeCell ref="L164:M164"/>
    <mergeCell ref="L165:M165"/>
    <mergeCell ref="L166:M166"/>
    <mergeCell ref="L197:M197"/>
    <mergeCell ref="L198:M198"/>
    <mergeCell ref="L199:M199"/>
    <mergeCell ref="L200:M200"/>
    <mergeCell ref="L201:M201"/>
    <mergeCell ref="L192:M192"/>
    <mergeCell ref="L193:M193"/>
    <mergeCell ref="L194:M194"/>
    <mergeCell ref="L195:M195"/>
    <mergeCell ref="L196:M196"/>
    <mergeCell ref="L187:M187"/>
    <mergeCell ref="L188:M188"/>
    <mergeCell ref="L189:M189"/>
    <mergeCell ref="L190:M190"/>
    <mergeCell ref="L191:M191"/>
    <mergeCell ref="L182:M182"/>
    <mergeCell ref="L183:M183"/>
    <mergeCell ref="L184:M184"/>
    <mergeCell ref="L185:M185"/>
    <mergeCell ref="L186:M186"/>
    <mergeCell ref="L217:M217"/>
    <mergeCell ref="L218:M218"/>
    <mergeCell ref="L219:M219"/>
    <mergeCell ref="L220:M220"/>
    <mergeCell ref="L221:M221"/>
    <mergeCell ref="L212:M212"/>
    <mergeCell ref="L213:M213"/>
    <mergeCell ref="L214:M214"/>
    <mergeCell ref="L215:M215"/>
    <mergeCell ref="L216:M216"/>
    <mergeCell ref="L207:M207"/>
    <mergeCell ref="L208:M208"/>
    <mergeCell ref="L209:M209"/>
    <mergeCell ref="L210:M210"/>
    <mergeCell ref="L211:M211"/>
    <mergeCell ref="L202:M202"/>
    <mergeCell ref="L203:M203"/>
    <mergeCell ref="L204:M204"/>
    <mergeCell ref="L205:M205"/>
    <mergeCell ref="L206:M206"/>
    <mergeCell ref="L237:M237"/>
    <mergeCell ref="L238:M238"/>
    <mergeCell ref="L239:M239"/>
    <mergeCell ref="L240:M240"/>
    <mergeCell ref="L241:M241"/>
    <mergeCell ref="L232:M232"/>
    <mergeCell ref="L233:M233"/>
    <mergeCell ref="L234:M234"/>
    <mergeCell ref="L235:M235"/>
    <mergeCell ref="L236:M236"/>
    <mergeCell ref="L227:M227"/>
    <mergeCell ref="L228:M228"/>
    <mergeCell ref="L229:M229"/>
    <mergeCell ref="L230:M230"/>
    <mergeCell ref="L231:M231"/>
    <mergeCell ref="L222:M222"/>
    <mergeCell ref="L223:M223"/>
    <mergeCell ref="L224:M224"/>
    <mergeCell ref="L225:M225"/>
    <mergeCell ref="L226:M226"/>
    <mergeCell ref="L257:M257"/>
    <mergeCell ref="L258:M258"/>
    <mergeCell ref="L259:M259"/>
    <mergeCell ref="L260:M260"/>
    <mergeCell ref="L261:M261"/>
    <mergeCell ref="L252:M252"/>
    <mergeCell ref="L253:M253"/>
    <mergeCell ref="L254:M254"/>
    <mergeCell ref="L255:M255"/>
    <mergeCell ref="L256:M256"/>
    <mergeCell ref="L247:M247"/>
    <mergeCell ref="L248:M248"/>
    <mergeCell ref="L249:M249"/>
    <mergeCell ref="L250:M250"/>
    <mergeCell ref="L251:M251"/>
    <mergeCell ref="L242:M242"/>
    <mergeCell ref="L243:M243"/>
    <mergeCell ref="L244:M244"/>
    <mergeCell ref="L245:M245"/>
    <mergeCell ref="L246:M246"/>
    <mergeCell ref="L277:M277"/>
    <mergeCell ref="L278:M278"/>
    <mergeCell ref="L279:M279"/>
    <mergeCell ref="L280:M280"/>
    <mergeCell ref="L281:M281"/>
    <mergeCell ref="L272:M272"/>
    <mergeCell ref="L273:M273"/>
    <mergeCell ref="L274:M274"/>
    <mergeCell ref="L275:M275"/>
    <mergeCell ref="L276:M276"/>
    <mergeCell ref="L267:M267"/>
    <mergeCell ref="L268:M268"/>
    <mergeCell ref="L269:M269"/>
    <mergeCell ref="L270:M270"/>
    <mergeCell ref="L271:M271"/>
    <mergeCell ref="L262:M262"/>
    <mergeCell ref="L263:M263"/>
    <mergeCell ref="L264:M264"/>
    <mergeCell ref="L265:M265"/>
    <mergeCell ref="L266:M266"/>
    <mergeCell ref="L298:M298"/>
    <mergeCell ref="L299:M299"/>
    <mergeCell ref="L300:M300"/>
    <mergeCell ref="L301:M301"/>
    <mergeCell ref="L292:M292"/>
    <mergeCell ref="L293:M293"/>
    <mergeCell ref="L294:M294"/>
    <mergeCell ref="L295:M295"/>
    <mergeCell ref="L296:M296"/>
    <mergeCell ref="L287:M287"/>
    <mergeCell ref="L288:M288"/>
    <mergeCell ref="L289:M289"/>
    <mergeCell ref="L290:M290"/>
    <mergeCell ref="L291:M291"/>
    <mergeCell ref="L282:M282"/>
    <mergeCell ref="L283:M283"/>
    <mergeCell ref="L284:M284"/>
    <mergeCell ref="L285:M285"/>
    <mergeCell ref="L286:M286"/>
    <mergeCell ref="L317:M317"/>
    <mergeCell ref="L318:M318"/>
    <mergeCell ref="L319:M319"/>
    <mergeCell ref="BG65:BH66"/>
    <mergeCell ref="BI65:BJ66"/>
    <mergeCell ref="AE69:AF70"/>
    <mergeCell ref="AG69:AH70"/>
    <mergeCell ref="AI69:AJ70"/>
    <mergeCell ref="AK69:AL70"/>
    <mergeCell ref="AM69:AN70"/>
    <mergeCell ref="AO69:AP70"/>
    <mergeCell ref="AQ69:AR70"/>
    <mergeCell ref="AS69:AT70"/>
    <mergeCell ref="AU69:AV70"/>
    <mergeCell ref="AW69:AX70"/>
    <mergeCell ref="AY69:AZ70"/>
    <mergeCell ref="L312:M312"/>
    <mergeCell ref="L313:M313"/>
    <mergeCell ref="L314:M314"/>
    <mergeCell ref="L315:M315"/>
    <mergeCell ref="L316:M316"/>
    <mergeCell ref="L307:M307"/>
    <mergeCell ref="L308:M308"/>
    <mergeCell ref="L309:M309"/>
    <mergeCell ref="L310:M310"/>
    <mergeCell ref="L311:M311"/>
    <mergeCell ref="L302:M302"/>
    <mergeCell ref="L303:M303"/>
    <mergeCell ref="L304:M304"/>
    <mergeCell ref="L305:M305"/>
    <mergeCell ref="L306:M306"/>
    <mergeCell ref="L297:M297"/>
    <mergeCell ref="N40:O40"/>
    <mergeCell ref="N41:O41"/>
    <mergeCell ref="N42:O42"/>
    <mergeCell ref="N33:O33"/>
    <mergeCell ref="N34:O34"/>
    <mergeCell ref="N35:O35"/>
    <mergeCell ref="N36:O36"/>
    <mergeCell ref="N37:O37"/>
    <mergeCell ref="N28:O28"/>
    <mergeCell ref="N29:O29"/>
    <mergeCell ref="N30:O30"/>
    <mergeCell ref="N31:O31"/>
    <mergeCell ref="N32:O32"/>
    <mergeCell ref="W343:X343"/>
    <mergeCell ref="N24:O24"/>
    <mergeCell ref="N25:O25"/>
    <mergeCell ref="N26:O26"/>
    <mergeCell ref="N27:O27"/>
    <mergeCell ref="W46:Z47"/>
    <mergeCell ref="W44:Z45"/>
    <mergeCell ref="W42:Z43"/>
    <mergeCell ref="W40:Z41"/>
    <mergeCell ref="W36:Z37"/>
    <mergeCell ref="W34:Z35"/>
    <mergeCell ref="W77:Z78"/>
    <mergeCell ref="W87:Z88"/>
    <mergeCell ref="W95:Z96"/>
    <mergeCell ref="W79:Z80"/>
    <mergeCell ref="W338:X338"/>
    <mergeCell ref="W339:X339"/>
    <mergeCell ref="N58:O58"/>
    <mergeCell ref="N59:O59"/>
    <mergeCell ref="N60:O60"/>
    <mergeCell ref="N61:O61"/>
    <mergeCell ref="N62:O62"/>
    <mergeCell ref="N53:O53"/>
    <mergeCell ref="N54:O54"/>
    <mergeCell ref="N55:O55"/>
    <mergeCell ref="N56:O56"/>
    <mergeCell ref="N57:O57"/>
    <mergeCell ref="N48:O48"/>
    <mergeCell ref="N49:O49"/>
    <mergeCell ref="N50:O50"/>
    <mergeCell ref="N51:O51"/>
    <mergeCell ref="N52:O52"/>
    <mergeCell ref="N43:O43"/>
    <mergeCell ref="N44:O44"/>
    <mergeCell ref="N45:O45"/>
    <mergeCell ref="N46:O46"/>
    <mergeCell ref="N47:O47"/>
    <mergeCell ref="N78:O78"/>
    <mergeCell ref="N79:O79"/>
    <mergeCell ref="N80:O80"/>
    <mergeCell ref="N81:O81"/>
    <mergeCell ref="N82:O82"/>
    <mergeCell ref="N73:O73"/>
    <mergeCell ref="N74:O74"/>
    <mergeCell ref="N75:O75"/>
    <mergeCell ref="N76:O76"/>
    <mergeCell ref="N77:O77"/>
    <mergeCell ref="N68:O68"/>
    <mergeCell ref="N69:O69"/>
    <mergeCell ref="N70:O70"/>
    <mergeCell ref="N71:O71"/>
    <mergeCell ref="N72:O72"/>
    <mergeCell ref="N63:O63"/>
    <mergeCell ref="N64:O64"/>
    <mergeCell ref="N65:O65"/>
    <mergeCell ref="N66:O66"/>
    <mergeCell ref="N67:O67"/>
    <mergeCell ref="N98:O98"/>
    <mergeCell ref="N99:O99"/>
    <mergeCell ref="N100:O100"/>
    <mergeCell ref="N101:O101"/>
    <mergeCell ref="N102:O102"/>
    <mergeCell ref="N93:O93"/>
    <mergeCell ref="N94:O94"/>
    <mergeCell ref="N95:O95"/>
    <mergeCell ref="N96:O96"/>
    <mergeCell ref="N97:O97"/>
    <mergeCell ref="N88:O88"/>
    <mergeCell ref="N89:O89"/>
    <mergeCell ref="N90:O90"/>
    <mergeCell ref="N91:O91"/>
    <mergeCell ref="N92:O92"/>
    <mergeCell ref="N83:O83"/>
    <mergeCell ref="N84:O84"/>
    <mergeCell ref="N85:O85"/>
    <mergeCell ref="N86:O86"/>
    <mergeCell ref="N87:O87"/>
    <mergeCell ref="N118:O118"/>
    <mergeCell ref="N119:O119"/>
    <mergeCell ref="N120:O120"/>
    <mergeCell ref="N121:O121"/>
    <mergeCell ref="N122:O122"/>
    <mergeCell ref="N113:O113"/>
    <mergeCell ref="N114:O114"/>
    <mergeCell ref="N115:O115"/>
    <mergeCell ref="N116:O116"/>
    <mergeCell ref="N117:O117"/>
    <mergeCell ref="N108:O108"/>
    <mergeCell ref="N109:O109"/>
    <mergeCell ref="N110:O110"/>
    <mergeCell ref="N111:O111"/>
    <mergeCell ref="N112:O112"/>
    <mergeCell ref="N103:O103"/>
    <mergeCell ref="N104:O104"/>
    <mergeCell ref="N105:O105"/>
    <mergeCell ref="N106:O106"/>
    <mergeCell ref="N107:O107"/>
    <mergeCell ref="N138:O138"/>
    <mergeCell ref="N139:O139"/>
    <mergeCell ref="N140:O140"/>
    <mergeCell ref="N141:O141"/>
    <mergeCell ref="N142:O142"/>
    <mergeCell ref="N133:O133"/>
    <mergeCell ref="N134:O134"/>
    <mergeCell ref="N135:O135"/>
    <mergeCell ref="N136:O136"/>
    <mergeCell ref="N137:O137"/>
    <mergeCell ref="N128:O128"/>
    <mergeCell ref="N129:O129"/>
    <mergeCell ref="N130:O130"/>
    <mergeCell ref="N131:O131"/>
    <mergeCell ref="N132:O132"/>
    <mergeCell ref="N123:O123"/>
    <mergeCell ref="N124:O124"/>
    <mergeCell ref="N125:O125"/>
    <mergeCell ref="N126:O126"/>
    <mergeCell ref="N127:O127"/>
    <mergeCell ref="N158:O158"/>
    <mergeCell ref="N159:O159"/>
    <mergeCell ref="N160:O160"/>
    <mergeCell ref="N161:O161"/>
    <mergeCell ref="N162:O162"/>
    <mergeCell ref="N153:O153"/>
    <mergeCell ref="N154:O154"/>
    <mergeCell ref="N155:O155"/>
    <mergeCell ref="N156:O156"/>
    <mergeCell ref="N157:O157"/>
    <mergeCell ref="N148:O148"/>
    <mergeCell ref="N149:O149"/>
    <mergeCell ref="N150:O150"/>
    <mergeCell ref="N151:O151"/>
    <mergeCell ref="N152:O152"/>
    <mergeCell ref="N143:O143"/>
    <mergeCell ref="N144:O144"/>
    <mergeCell ref="N145:O145"/>
    <mergeCell ref="N146:O146"/>
    <mergeCell ref="N147:O147"/>
    <mergeCell ref="N178:O178"/>
    <mergeCell ref="N179:O179"/>
    <mergeCell ref="N180:O180"/>
    <mergeCell ref="N181:O181"/>
    <mergeCell ref="N182:O182"/>
    <mergeCell ref="N173:O173"/>
    <mergeCell ref="N174:O174"/>
    <mergeCell ref="N175:O175"/>
    <mergeCell ref="N176:O176"/>
    <mergeCell ref="N177:O177"/>
    <mergeCell ref="N168:O168"/>
    <mergeCell ref="N169:O169"/>
    <mergeCell ref="N170:O170"/>
    <mergeCell ref="N171:O171"/>
    <mergeCell ref="N172:O172"/>
    <mergeCell ref="N163:O163"/>
    <mergeCell ref="N164:O164"/>
    <mergeCell ref="N165:O165"/>
    <mergeCell ref="N166:O166"/>
    <mergeCell ref="N167:O167"/>
    <mergeCell ref="N198:O198"/>
    <mergeCell ref="N199:O199"/>
    <mergeCell ref="N200:O200"/>
    <mergeCell ref="N201:O201"/>
    <mergeCell ref="N202:O202"/>
    <mergeCell ref="N193:O193"/>
    <mergeCell ref="N194:O194"/>
    <mergeCell ref="N195:O195"/>
    <mergeCell ref="N196:O196"/>
    <mergeCell ref="N197:O197"/>
    <mergeCell ref="N188:O188"/>
    <mergeCell ref="N189:O189"/>
    <mergeCell ref="N190:O190"/>
    <mergeCell ref="N191:O191"/>
    <mergeCell ref="N192:O192"/>
    <mergeCell ref="N183:O183"/>
    <mergeCell ref="N184:O184"/>
    <mergeCell ref="N185:O185"/>
    <mergeCell ref="N186:O186"/>
    <mergeCell ref="N187:O187"/>
    <mergeCell ref="N218:O218"/>
    <mergeCell ref="N219:O219"/>
    <mergeCell ref="N220:O220"/>
    <mergeCell ref="N221:O221"/>
    <mergeCell ref="N222:O222"/>
    <mergeCell ref="N213:O213"/>
    <mergeCell ref="N214:O214"/>
    <mergeCell ref="N215:O215"/>
    <mergeCell ref="N216:O216"/>
    <mergeCell ref="N217:O217"/>
    <mergeCell ref="N208:O208"/>
    <mergeCell ref="N209:O209"/>
    <mergeCell ref="N210:O210"/>
    <mergeCell ref="N211:O211"/>
    <mergeCell ref="N212:O212"/>
    <mergeCell ref="N203:O203"/>
    <mergeCell ref="N204:O204"/>
    <mergeCell ref="N205:O205"/>
    <mergeCell ref="N206:O206"/>
    <mergeCell ref="N207:O207"/>
    <mergeCell ref="N238:O238"/>
    <mergeCell ref="N239:O239"/>
    <mergeCell ref="N240:O240"/>
    <mergeCell ref="N241:O241"/>
    <mergeCell ref="N242:O242"/>
    <mergeCell ref="N233:O233"/>
    <mergeCell ref="N234:O234"/>
    <mergeCell ref="N235:O235"/>
    <mergeCell ref="N236:O236"/>
    <mergeCell ref="N237:O237"/>
    <mergeCell ref="N228:O228"/>
    <mergeCell ref="N229:O229"/>
    <mergeCell ref="N230:O230"/>
    <mergeCell ref="N231:O231"/>
    <mergeCell ref="N232:O232"/>
    <mergeCell ref="N223:O223"/>
    <mergeCell ref="N224:O224"/>
    <mergeCell ref="N225:O225"/>
    <mergeCell ref="N226:O226"/>
    <mergeCell ref="N227:O227"/>
    <mergeCell ref="N258:O258"/>
    <mergeCell ref="N259:O259"/>
    <mergeCell ref="N260:O260"/>
    <mergeCell ref="N261:O261"/>
    <mergeCell ref="N262:O262"/>
    <mergeCell ref="N253:O253"/>
    <mergeCell ref="N254:O254"/>
    <mergeCell ref="N255:O255"/>
    <mergeCell ref="N256:O256"/>
    <mergeCell ref="N257:O257"/>
    <mergeCell ref="N248:O248"/>
    <mergeCell ref="N249:O249"/>
    <mergeCell ref="N250:O250"/>
    <mergeCell ref="N251:O251"/>
    <mergeCell ref="N252:O252"/>
    <mergeCell ref="N243:O243"/>
    <mergeCell ref="N244:O244"/>
    <mergeCell ref="N245:O245"/>
    <mergeCell ref="N246:O246"/>
    <mergeCell ref="N247:O247"/>
    <mergeCell ref="N278:O278"/>
    <mergeCell ref="N279:O279"/>
    <mergeCell ref="N280:O280"/>
    <mergeCell ref="N281:O281"/>
    <mergeCell ref="N282:O282"/>
    <mergeCell ref="N273:O273"/>
    <mergeCell ref="N274:O274"/>
    <mergeCell ref="N275:O275"/>
    <mergeCell ref="N276:O276"/>
    <mergeCell ref="N277:O277"/>
    <mergeCell ref="N268:O268"/>
    <mergeCell ref="N269:O269"/>
    <mergeCell ref="N270:O270"/>
    <mergeCell ref="N271:O271"/>
    <mergeCell ref="N272:O272"/>
    <mergeCell ref="N263:O263"/>
    <mergeCell ref="N264:O264"/>
    <mergeCell ref="N265:O265"/>
    <mergeCell ref="N266:O266"/>
    <mergeCell ref="N267:O267"/>
    <mergeCell ref="N298:O298"/>
    <mergeCell ref="N299:O299"/>
    <mergeCell ref="N300:O300"/>
    <mergeCell ref="N301:O301"/>
    <mergeCell ref="N302:O302"/>
    <mergeCell ref="N293:O293"/>
    <mergeCell ref="N294:O294"/>
    <mergeCell ref="N295:O295"/>
    <mergeCell ref="N296:O296"/>
    <mergeCell ref="N297:O297"/>
    <mergeCell ref="N288:O288"/>
    <mergeCell ref="N289:O289"/>
    <mergeCell ref="N290:O290"/>
    <mergeCell ref="N291:O291"/>
    <mergeCell ref="N292:O292"/>
    <mergeCell ref="N283:O283"/>
    <mergeCell ref="N284:O284"/>
    <mergeCell ref="N285:O285"/>
    <mergeCell ref="N286:O286"/>
    <mergeCell ref="N287:O287"/>
    <mergeCell ref="P32:Q32"/>
    <mergeCell ref="P33:Q33"/>
    <mergeCell ref="P34:Q34"/>
    <mergeCell ref="P35:Q35"/>
    <mergeCell ref="P36:Q36"/>
    <mergeCell ref="P27:Q27"/>
    <mergeCell ref="P28:Q28"/>
    <mergeCell ref="P29:Q29"/>
    <mergeCell ref="P30:Q30"/>
    <mergeCell ref="P31:Q31"/>
    <mergeCell ref="P22:Q22"/>
    <mergeCell ref="P23:Q23"/>
    <mergeCell ref="P24:Q24"/>
    <mergeCell ref="P25:Q25"/>
    <mergeCell ref="P26:Q26"/>
    <mergeCell ref="N318:O318"/>
    <mergeCell ref="N319:O319"/>
    <mergeCell ref="N313:O313"/>
    <mergeCell ref="N314:O314"/>
    <mergeCell ref="N315:O315"/>
    <mergeCell ref="N316:O316"/>
    <mergeCell ref="N317:O317"/>
    <mergeCell ref="N308:O308"/>
    <mergeCell ref="N309:O309"/>
    <mergeCell ref="N310:O310"/>
    <mergeCell ref="N311:O311"/>
    <mergeCell ref="N312:O312"/>
    <mergeCell ref="N303:O303"/>
    <mergeCell ref="N304:O304"/>
    <mergeCell ref="N305:O305"/>
    <mergeCell ref="N306:O306"/>
    <mergeCell ref="N307:O307"/>
    <mergeCell ref="P52:Q52"/>
    <mergeCell ref="P53:Q53"/>
    <mergeCell ref="P54:Q54"/>
    <mergeCell ref="P55:Q55"/>
    <mergeCell ref="P56:Q56"/>
    <mergeCell ref="P47:Q47"/>
    <mergeCell ref="P48:Q48"/>
    <mergeCell ref="P49:Q49"/>
    <mergeCell ref="P50:Q50"/>
    <mergeCell ref="P51:Q51"/>
    <mergeCell ref="P42:Q42"/>
    <mergeCell ref="P43:Q43"/>
    <mergeCell ref="P44:Q44"/>
    <mergeCell ref="P45:Q45"/>
    <mergeCell ref="P46:Q46"/>
    <mergeCell ref="P40:Q40"/>
    <mergeCell ref="P41:Q41"/>
    <mergeCell ref="P72:Q72"/>
    <mergeCell ref="P73:Q73"/>
    <mergeCell ref="P74:Q74"/>
    <mergeCell ref="P75:Q75"/>
    <mergeCell ref="P76:Q76"/>
    <mergeCell ref="P67:Q67"/>
    <mergeCell ref="P68:Q68"/>
    <mergeCell ref="P69:Q69"/>
    <mergeCell ref="P70:Q70"/>
    <mergeCell ref="P71:Q71"/>
    <mergeCell ref="P62:Q62"/>
    <mergeCell ref="P63:Q63"/>
    <mergeCell ref="P64:Q64"/>
    <mergeCell ref="P65:Q65"/>
    <mergeCell ref="P66:Q66"/>
    <mergeCell ref="P57:Q57"/>
    <mergeCell ref="P58:Q58"/>
    <mergeCell ref="P59:Q59"/>
    <mergeCell ref="P60:Q60"/>
    <mergeCell ref="P61:Q61"/>
    <mergeCell ref="P92:Q92"/>
    <mergeCell ref="P93:Q93"/>
    <mergeCell ref="P94:Q94"/>
    <mergeCell ref="P95:Q95"/>
    <mergeCell ref="P96:Q96"/>
    <mergeCell ref="P87:Q87"/>
    <mergeCell ref="P88:Q88"/>
    <mergeCell ref="P89:Q89"/>
    <mergeCell ref="P90:Q90"/>
    <mergeCell ref="P91:Q91"/>
    <mergeCell ref="P82:Q82"/>
    <mergeCell ref="P83:Q83"/>
    <mergeCell ref="P84:Q84"/>
    <mergeCell ref="P85:Q85"/>
    <mergeCell ref="P86:Q86"/>
    <mergeCell ref="P77:Q77"/>
    <mergeCell ref="P78:Q78"/>
    <mergeCell ref="P79:Q79"/>
    <mergeCell ref="P80:Q80"/>
    <mergeCell ref="P81:Q81"/>
    <mergeCell ref="P112:Q112"/>
    <mergeCell ref="P113:Q113"/>
    <mergeCell ref="P114:Q114"/>
    <mergeCell ref="P115:Q115"/>
    <mergeCell ref="P116:Q116"/>
    <mergeCell ref="P107:Q107"/>
    <mergeCell ref="P108:Q108"/>
    <mergeCell ref="P109:Q109"/>
    <mergeCell ref="P110:Q110"/>
    <mergeCell ref="P111:Q111"/>
    <mergeCell ref="P102:Q102"/>
    <mergeCell ref="P103:Q103"/>
    <mergeCell ref="P104:Q104"/>
    <mergeCell ref="P105:Q105"/>
    <mergeCell ref="P106:Q106"/>
    <mergeCell ref="P97:Q97"/>
    <mergeCell ref="P98:Q98"/>
    <mergeCell ref="P99:Q99"/>
    <mergeCell ref="P100:Q100"/>
    <mergeCell ref="P101:Q101"/>
    <mergeCell ref="P132:Q132"/>
    <mergeCell ref="P133:Q133"/>
    <mergeCell ref="P134:Q134"/>
    <mergeCell ref="P135:Q135"/>
    <mergeCell ref="P136:Q136"/>
    <mergeCell ref="P127:Q127"/>
    <mergeCell ref="P128:Q128"/>
    <mergeCell ref="P129:Q129"/>
    <mergeCell ref="P130:Q130"/>
    <mergeCell ref="P131:Q131"/>
    <mergeCell ref="P122:Q122"/>
    <mergeCell ref="P123:Q123"/>
    <mergeCell ref="P124:Q124"/>
    <mergeCell ref="P125:Q125"/>
    <mergeCell ref="P126:Q126"/>
    <mergeCell ref="P117:Q117"/>
    <mergeCell ref="P118:Q118"/>
    <mergeCell ref="P119:Q119"/>
    <mergeCell ref="P120:Q120"/>
    <mergeCell ref="P121:Q121"/>
    <mergeCell ref="P152:Q152"/>
    <mergeCell ref="P153:Q153"/>
    <mergeCell ref="P154:Q154"/>
    <mergeCell ref="P155:Q155"/>
    <mergeCell ref="P156:Q156"/>
    <mergeCell ref="P147:Q147"/>
    <mergeCell ref="P148:Q148"/>
    <mergeCell ref="P149:Q149"/>
    <mergeCell ref="P150:Q150"/>
    <mergeCell ref="P151:Q151"/>
    <mergeCell ref="P142:Q142"/>
    <mergeCell ref="P143:Q143"/>
    <mergeCell ref="P144:Q144"/>
    <mergeCell ref="P145:Q145"/>
    <mergeCell ref="P146:Q146"/>
    <mergeCell ref="P137:Q137"/>
    <mergeCell ref="P138:Q138"/>
    <mergeCell ref="P139:Q139"/>
    <mergeCell ref="P140:Q140"/>
    <mergeCell ref="P141:Q141"/>
    <mergeCell ref="P172:Q172"/>
    <mergeCell ref="P173:Q173"/>
    <mergeCell ref="P174:Q174"/>
    <mergeCell ref="P175:Q175"/>
    <mergeCell ref="P176:Q176"/>
    <mergeCell ref="P167:Q167"/>
    <mergeCell ref="P168:Q168"/>
    <mergeCell ref="P169:Q169"/>
    <mergeCell ref="P170:Q170"/>
    <mergeCell ref="P171:Q17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P161:Q161"/>
    <mergeCell ref="P192:Q192"/>
    <mergeCell ref="P193:Q193"/>
    <mergeCell ref="P194:Q194"/>
    <mergeCell ref="P195:Q195"/>
    <mergeCell ref="P196:Q196"/>
    <mergeCell ref="P187:Q187"/>
    <mergeCell ref="P188:Q188"/>
    <mergeCell ref="P189:Q189"/>
    <mergeCell ref="P190:Q190"/>
    <mergeCell ref="P191:Q191"/>
    <mergeCell ref="P182:Q182"/>
    <mergeCell ref="P183:Q183"/>
    <mergeCell ref="P184:Q184"/>
    <mergeCell ref="P185:Q185"/>
    <mergeCell ref="P186:Q186"/>
    <mergeCell ref="P177:Q177"/>
    <mergeCell ref="P178:Q178"/>
    <mergeCell ref="P179:Q179"/>
    <mergeCell ref="P180:Q180"/>
    <mergeCell ref="P181:Q181"/>
    <mergeCell ref="P212:Q212"/>
    <mergeCell ref="P213:Q213"/>
    <mergeCell ref="P214:Q214"/>
    <mergeCell ref="P215:Q215"/>
    <mergeCell ref="P216:Q216"/>
    <mergeCell ref="P207:Q207"/>
    <mergeCell ref="P208:Q208"/>
    <mergeCell ref="P209:Q209"/>
    <mergeCell ref="P210:Q210"/>
    <mergeCell ref="P211:Q211"/>
    <mergeCell ref="P202:Q202"/>
    <mergeCell ref="P203:Q203"/>
    <mergeCell ref="P204:Q204"/>
    <mergeCell ref="P205:Q205"/>
    <mergeCell ref="P206:Q206"/>
    <mergeCell ref="P197:Q197"/>
    <mergeCell ref="P198:Q198"/>
    <mergeCell ref="P199:Q199"/>
    <mergeCell ref="P200:Q200"/>
    <mergeCell ref="P201:Q201"/>
    <mergeCell ref="P232:Q232"/>
    <mergeCell ref="P233:Q233"/>
    <mergeCell ref="P234:Q234"/>
    <mergeCell ref="P235:Q235"/>
    <mergeCell ref="P236:Q236"/>
    <mergeCell ref="P227:Q227"/>
    <mergeCell ref="P228:Q228"/>
    <mergeCell ref="P229:Q229"/>
    <mergeCell ref="P230:Q230"/>
    <mergeCell ref="P231:Q231"/>
    <mergeCell ref="P222:Q222"/>
    <mergeCell ref="P223:Q223"/>
    <mergeCell ref="P224:Q224"/>
    <mergeCell ref="P225:Q225"/>
    <mergeCell ref="P226:Q226"/>
    <mergeCell ref="P217:Q217"/>
    <mergeCell ref="P218:Q218"/>
    <mergeCell ref="P219:Q219"/>
    <mergeCell ref="P220:Q220"/>
    <mergeCell ref="P221:Q221"/>
    <mergeCell ref="P252:Q252"/>
    <mergeCell ref="P253:Q253"/>
    <mergeCell ref="P254:Q254"/>
    <mergeCell ref="P255:Q255"/>
    <mergeCell ref="P256:Q256"/>
    <mergeCell ref="P247:Q247"/>
    <mergeCell ref="P248:Q248"/>
    <mergeCell ref="P249:Q249"/>
    <mergeCell ref="P250:Q250"/>
    <mergeCell ref="P251:Q251"/>
    <mergeCell ref="P242:Q242"/>
    <mergeCell ref="P243:Q243"/>
    <mergeCell ref="P244:Q244"/>
    <mergeCell ref="P245:Q245"/>
    <mergeCell ref="P246:Q246"/>
    <mergeCell ref="P237:Q237"/>
    <mergeCell ref="P238:Q238"/>
    <mergeCell ref="P239:Q239"/>
    <mergeCell ref="P240:Q240"/>
    <mergeCell ref="P241:Q241"/>
    <mergeCell ref="P281:Q281"/>
    <mergeCell ref="P272:Q272"/>
    <mergeCell ref="P273:Q273"/>
    <mergeCell ref="P274:Q274"/>
    <mergeCell ref="P275:Q275"/>
    <mergeCell ref="P276:Q276"/>
    <mergeCell ref="P267:Q267"/>
    <mergeCell ref="P268:Q268"/>
    <mergeCell ref="P269:Q269"/>
    <mergeCell ref="P270:Q270"/>
    <mergeCell ref="P271:Q271"/>
    <mergeCell ref="P262:Q262"/>
    <mergeCell ref="P263:Q263"/>
    <mergeCell ref="P264:Q264"/>
    <mergeCell ref="P265:Q265"/>
    <mergeCell ref="P266:Q266"/>
    <mergeCell ref="P257:Q257"/>
    <mergeCell ref="P258:Q258"/>
    <mergeCell ref="P259:Q259"/>
    <mergeCell ref="P260:Q260"/>
    <mergeCell ref="P261:Q261"/>
    <mergeCell ref="P302:Q302"/>
    <mergeCell ref="P303:Q303"/>
    <mergeCell ref="P304:Q304"/>
    <mergeCell ref="P305:Q305"/>
    <mergeCell ref="P306:Q306"/>
    <mergeCell ref="R75:S75"/>
    <mergeCell ref="R76:S76"/>
    <mergeCell ref="R77:S77"/>
    <mergeCell ref="P297:Q297"/>
    <mergeCell ref="P298:Q298"/>
    <mergeCell ref="P299:Q299"/>
    <mergeCell ref="P300:Q300"/>
    <mergeCell ref="P301:Q301"/>
    <mergeCell ref="P292:Q292"/>
    <mergeCell ref="P293:Q293"/>
    <mergeCell ref="P294:Q294"/>
    <mergeCell ref="P295:Q295"/>
    <mergeCell ref="P296:Q296"/>
    <mergeCell ref="P287:Q287"/>
    <mergeCell ref="P288:Q288"/>
    <mergeCell ref="P289:Q289"/>
    <mergeCell ref="P290:Q290"/>
    <mergeCell ref="P291:Q291"/>
    <mergeCell ref="P282:Q282"/>
    <mergeCell ref="P283:Q283"/>
    <mergeCell ref="P284:Q284"/>
    <mergeCell ref="P285:Q285"/>
    <mergeCell ref="P286:Q286"/>
    <mergeCell ref="P277:Q277"/>
    <mergeCell ref="P278:Q278"/>
    <mergeCell ref="P279:Q279"/>
    <mergeCell ref="P280:Q280"/>
    <mergeCell ref="AA341:AB341"/>
    <mergeCell ref="AA342:AB342"/>
    <mergeCell ref="P317:Q317"/>
    <mergeCell ref="P318:Q318"/>
    <mergeCell ref="P319:Q319"/>
    <mergeCell ref="AA336:AB336"/>
    <mergeCell ref="AA337:AB337"/>
    <mergeCell ref="P312:Q312"/>
    <mergeCell ref="P313:Q313"/>
    <mergeCell ref="P314:Q314"/>
    <mergeCell ref="P315:Q315"/>
    <mergeCell ref="P316:Q316"/>
    <mergeCell ref="P307:Q307"/>
    <mergeCell ref="P308:Q308"/>
    <mergeCell ref="P309:Q309"/>
    <mergeCell ref="P310:Q310"/>
    <mergeCell ref="P311:Q311"/>
    <mergeCell ref="Y336:Z336"/>
    <mergeCell ref="Y337:Z337"/>
    <mergeCell ref="Y338:Z338"/>
    <mergeCell ref="R315:S315"/>
    <mergeCell ref="R316:S316"/>
    <mergeCell ref="R317:S317"/>
    <mergeCell ref="R318:S318"/>
    <mergeCell ref="R319:S319"/>
    <mergeCell ref="R310:S310"/>
    <mergeCell ref="R311:S311"/>
    <mergeCell ref="R312:S312"/>
    <mergeCell ref="R313:S313"/>
    <mergeCell ref="R314:S314"/>
    <mergeCell ref="R45:S45"/>
    <mergeCell ref="R46:S46"/>
    <mergeCell ref="R47:S47"/>
    <mergeCell ref="R48:S48"/>
    <mergeCell ref="R49:S49"/>
    <mergeCell ref="R40:S40"/>
    <mergeCell ref="R41:S41"/>
    <mergeCell ref="R42:S42"/>
    <mergeCell ref="R43:S43"/>
    <mergeCell ref="R44:S44"/>
    <mergeCell ref="W71:Z72"/>
    <mergeCell ref="AA71:AB72"/>
    <mergeCell ref="W75:Z76"/>
    <mergeCell ref="AA75:AB76"/>
    <mergeCell ref="AA338:AB338"/>
    <mergeCell ref="AA339:AB339"/>
    <mergeCell ref="AA340:AB340"/>
    <mergeCell ref="R305:S305"/>
    <mergeCell ref="R306:S306"/>
    <mergeCell ref="R65:S65"/>
    <mergeCell ref="R66:S66"/>
    <mergeCell ref="R67:S67"/>
    <mergeCell ref="R68:S68"/>
    <mergeCell ref="R69:S69"/>
    <mergeCell ref="R60:S60"/>
    <mergeCell ref="R61:S61"/>
    <mergeCell ref="R62:S62"/>
    <mergeCell ref="R63:S63"/>
    <mergeCell ref="R64:S64"/>
    <mergeCell ref="R55:S55"/>
    <mergeCell ref="R56:S56"/>
    <mergeCell ref="R57:S57"/>
    <mergeCell ref="R58:S58"/>
    <mergeCell ref="R59:S59"/>
    <mergeCell ref="R50:S50"/>
    <mergeCell ref="R51:S51"/>
    <mergeCell ref="R52:S52"/>
    <mergeCell ref="R53:S53"/>
    <mergeCell ref="R54:S54"/>
    <mergeCell ref="R85:S85"/>
    <mergeCell ref="R86:S86"/>
    <mergeCell ref="R87:S87"/>
    <mergeCell ref="R88:S88"/>
    <mergeCell ref="R89:S89"/>
    <mergeCell ref="R80:S80"/>
    <mergeCell ref="R81:S81"/>
    <mergeCell ref="R82:S82"/>
    <mergeCell ref="R83:S83"/>
    <mergeCell ref="R84:S84"/>
    <mergeCell ref="R78:S78"/>
    <mergeCell ref="R79:S79"/>
    <mergeCell ref="R70:S70"/>
    <mergeCell ref="R71:S71"/>
    <mergeCell ref="R72:S72"/>
    <mergeCell ref="R73:S73"/>
    <mergeCell ref="R74:S74"/>
    <mergeCell ref="R105:S105"/>
    <mergeCell ref="R106:S106"/>
    <mergeCell ref="R107:S107"/>
    <mergeCell ref="R108:S108"/>
    <mergeCell ref="R109:S109"/>
    <mergeCell ref="R100:S100"/>
    <mergeCell ref="R101:S101"/>
    <mergeCell ref="R102:S102"/>
    <mergeCell ref="R103:S103"/>
    <mergeCell ref="R104:S104"/>
    <mergeCell ref="R95:S95"/>
    <mergeCell ref="R96:S96"/>
    <mergeCell ref="R97:S97"/>
    <mergeCell ref="R98:S98"/>
    <mergeCell ref="R99:S99"/>
    <mergeCell ref="R90:S90"/>
    <mergeCell ref="R91:S91"/>
    <mergeCell ref="R92:S92"/>
    <mergeCell ref="R93:S93"/>
    <mergeCell ref="R94:S94"/>
    <mergeCell ref="R125:S125"/>
    <mergeCell ref="R126:S126"/>
    <mergeCell ref="R127:S127"/>
    <mergeCell ref="R128:S128"/>
    <mergeCell ref="R129:S129"/>
    <mergeCell ref="R120:S120"/>
    <mergeCell ref="R121:S121"/>
    <mergeCell ref="R122:S122"/>
    <mergeCell ref="R123:S123"/>
    <mergeCell ref="R124:S124"/>
    <mergeCell ref="R115:S115"/>
    <mergeCell ref="R116:S116"/>
    <mergeCell ref="R117:S117"/>
    <mergeCell ref="R118:S118"/>
    <mergeCell ref="R119:S119"/>
    <mergeCell ref="R110:S110"/>
    <mergeCell ref="R111:S111"/>
    <mergeCell ref="R112:S112"/>
    <mergeCell ref="R113:S113"/>
    <mergeCell ref="R114:S114"/>
    <mergeCell ref="R145:S145"/>
    <mergeCell ref="R146:S146"/>
    <mergeCell ref="R147:S147"/>
    <mergeCell ref="R148:S148"/>
    <mergeCell ref="R149:S149"/>
    <mergeCell ref="R140:S140"/>
    <mergeCell ref="R141:S141"/>
    <mergeCell ref="R142:S142"/>
    <mergeCell ref="R143:S143"/>
    <mergeCell ref="R144:S144"/>
    <mergeCell ref="R135:S135"/>
    <mergeCell ref="R136:S136"/>
    <mergeCell ref="R137:S137"/>
    <mergeCell ref="R138:S138"/>
    <mergeCell ref="R139:S139"/>
    <mergeCell ref="R130:S130"/>
    <mergeCell ref="R131:S131"/>
    <mergeCell ref="R132:S132"/>
    <mergeCell ref="R133:S133"/>
    <mergeCell ref="R134:S134"/>
    <mergeCell ref="R165:S165"/>
    <mergeCell ref="R166:S166"/>
    <mergeCell ref="R167:S167"/>
    <mergeCell ref="R168:S168"/>
    <mergeCell ref="R169:S169"/>
    <mergeCell ref="R160:S160"/>
    <mergeCell ref="R161:S161"/>
    <mergeCell ref="R162:S162"/>
    <mergeCell ref="R163:S163"/>
    <mergeCell ref="R164:S164"/>
    <mergeCell ref="R155:S155"/>
    <mergeCell ref="R156:S156"/>
    <mergeCell ref="R157:S157"/>
    <mergeCell ref="R158:S158"/>
    <mergeCell ref="R159:S159"/>
    <mergeCell ref="R150:S150"/>
    <mergeCell ref="R151:S151"/>
    <mergeCell ref="R152:S152"/>
    <mergeCell ref="R153:S153"/>
    <mergeCell ref="R154:S154"/>
    <mergeCell ref="R185:S185"/>
    <mergeCell ref="R186:S186"/>
    <mergeCell ref="R187:S187"/>
    <mergeCell ref="R188:S188"/>
    <mergeCell ref="R189:S189"/>
    <mergeCell ref="R180:S180"/>
    <mergeCell ref="R181:S181"/>
    <mergeCell ref="R182:S182"/>
    <mergeCell ref="R183:S183"/>
    <mergeCell ref="R184:S184"/>
    <mergeCell ref="R175:S175"/>
    <mergeCell ref="R176:S176"/>
    <mergeCell ref="R177:S177"/>
    <mergeCell ref="R178:S178"/>
    <mergeCell ref="R179:S179"/>
    <mergeCell ref="R170:S170"/>
    <mergeCell ref="R171:S171"/>
    <mergeCell ref="R172:S172"/>
    <mergeCell ref="R173:S173"/>
    <mergeCell ref="R174:S174"/>
    <mergeCell ref="R205:S205"/>
    <mergeCell ref="R206:S206"/>
    <mergeCell ref="R207:S207"/>
    <mergeCell ref="R208:S208"/>
    <mergeCell ref="R209:S209"/>
    <mergeCell ref="R200:S200"/>
    <mergeCell ref="R201:S201"/>
    <mergeCell ref="R202:S202"/>
    <mergeCell ref="R203:S203"/>
    <mergeCell ref="R204:S204"/>
    <mergeCell ref="R195:S195"/>
    <mergeCell ref="R196:S196"/>
    <mergeCell ref="R197:S197"/>
    <mergeCell ref="R198:S198"/>
    <mergeCell ref="R199:S199"/>
    <mergeCell ref="R190:S190"/>
    <mergeCell ref="R191:S191"/>
    <mergeCell ref="R192:S192"/>
    <mergeCell ref="R193:S193"/>
    <mergeCell ref="R194:S194"/>
    <mergeCell ref="R225:S225"/>
    <mergeCell ref="R226:S226"/>
    <mergeCell ref="R227:S227"/>
    <mergeCell ref="R228:S228"/>
    <mergeCell ref="R229:S229"/>
    <mergeCell ref="R220:S220"/>
    <mergeCell ref="R221:S221"/>
    <mergeCell ref="R222:S222"/>
    <mergeCell ref="R223:S223"/>
    <mergeCell ref="R224:S224"/>
    <mergeCell ref="R215:S215"/>
    <mergeCell ref="R216:S216"/>
    <mergeCell ref="R217:S217"/>
    <mergeCell ref="R218:S218"/>
    <mergeCell ref="R219:S219"/>
    <mergeCell ref="R210:S210"/>
    <mergeCell ref="R211:S211"/>
    <mergeCell ref="R212:S212"/>
    <mergeCell ref="R213:S213"/>
    <mergeCell ref="R214:S214"/>
    <mergeCell ref="R245:S245"/>
    <mergeCell ref="R246:S246"/>
    <mergeCell ref="R247:S247"/>
    <mergeCell ref="R248:S248"/>
    <mergeCell ref="R249:S249"/>
    <mergeCell ref="R240:S240"/>
    <mergeCell ref="R241:S241"/>
    <mergeCell ref="R242:S242"/>
    <mergeCell ref="R243:S243"/>
    <mergeCell ref="R244:S244"/>
    <mergeCell ref="R235:S235"/>
    <mergeCell ref="R236:S236"/>
    <mergeCell ref="R237:S237"/>
    <mergeCell ref="R238:S238"/>
    <mergeCell ref="R239:S239"/>
    <mergeCell ref="R230:S230"/>
    <mergeCell ref="R231:S231"/>
    <mergeCell ref="R232:S232"/>
    <mergeCell ref="R233:S233"/>
    <mergeCell ref="R234:S234"/>
    <mergeCell ref="R266:S266"/>
    <mergeCell ref="R267:S267"/>
    <mergeCell ref="R268:S268"/>
    <mergeCell ref="R269:S269"/>
    <mergeCell ref="R260:S260"/>
    <mergeCell ref="R261:S261"/>
    <mergeCell ref="R262:S262"/>
    <mergeCell ref="R263:S263"/>
    <mergeCell ref="R264:S264"/>
    <mergeCell ref="R255:S255"/>
    <mergeCell ref="R256:S256"/>
    <mergeCell ref="R257:S257"/>
    <mergeCell ref="R258:S258"/>
    <mergeCell ref="R259:S259"/>
    <mergeCell ref="R250:S250"/>
    <mergeCell ref="R251:S251"/>
    <mergeCell ref="R252:S252"/>
    <mergeCell ref="R253:S253"/>
    <mergeCell ref="R254:S254"/>
    <mergeCell ref="T56:U56"/>
    <mergeCell ref="R295:S295"/>
    <mergeCell ref="R296:S296"/>
    <mergeCell ref="R297:S297"/>
    <mergeCell ref="R298:S298"/>
    <mergeCell ref="R299:S299"/>
    <mergeCell ref="R290:S290"/>
    <mergeCell ref="R291:S291"/>
    <mergeCell ref="R292:S292"/>
    <mergeCell ref="R293:S293"/>
    <mergeCell ref="R294:S294"/>
    <mergeCell ref="R285:S285"/>
    <mergeCell ref="R286:S286"/>
    <mergeCell ref="R287:S287"/>
    <mergeCell ref="R288:S288"/>
    <mergeCell ref="R289:S289"/>
    <mergeCell ref="R280:S280"/>
    <mergeCell ref="R281:S281"/>
    <mergeCell ref="R282:S282"/>
    <mergeCell ref="R283:S283"/>
    <mergeCell ref="R284:S284"/>
    <mergeCell ref="R275:S275"/>
    <mergeCell ref="R276:S276"/>
    <mergeCell ref="R277:S277"/>
    <mergeCell ref="R278:S278"/>
    <mergeCell ref="R279:S279"/>
    <mergeCell ref="R270:S270"/>
    <mergeCell ref="R271:S271"/>
    <mergeCell ref="R272:S272"/>
    <mergeCell ref="R273:S273"/>
    <mergeCell ref="R274:S274"/>
    <mergeCell ref="R265:S265"/>
    <mergeCell ref="AA87:AB88"/>
    <mergeCell ref="R307:S307"/>
    <mergeCell ref="R308:S308"/>
    <mergeCell ref="R309:S309"/>
    <mergeCell ref="R300:S300"/>
    <mergeCell ref="R301:S301"/>
    <mergeCell ref="R302:S302"/>
    <mergeCell ref="R303:S303"/>
    <mergeCell ref="R304:S304"/>
    <mergeCell ref="T43:U43"/>
    <mergeCell ref="T44:U44"/>
    <mergeCell ref="T45:U45"/>
    <mergeCell ref="T46:U46"/>
    <mergeCell ref="T47:U47"/>
    <mergeCell ref="T38:U38"/>
    <mergeCell ref="T39:U39"/>
    <mergeCell ref="T40:U40"/>
    <mergeCell ref="T41:U41"/>
    <mergeCell ref="T42:U42"/>
    <mergeCell ref="T63:U63"/>
    <mergeCell ref="T64:U64"/>
    <mergeCell ref="T65:U65"/>
    <mergeCell ref="T66:U66"/>
    <mergeCell ref="T67:U67"/>
    <mergeCell ref="T58:U58"/>
    <mergeCell ref="T59:U59"/>
    <mergeCell ref="T60:U60"/>
    <mergeCell ref="T61:U61"/>
    <mergeCell ref="T62:U62"/>
    <mergeCell ref="T53:U53"/>
    <mergeCell ref="T54:U54"/>
    <mergeCell ref="T55:U55"/>
    <mergeCell ref="T83:U83"/>
    <mergeCell ref="T84:U84"/>
    <mergeCell ref="T85:U85"/>
    <mergeCell ref="T86:U86"/>
    <mergeCell ref="T87:U87"/>
    <mergeCell ref="T78:U78"/>
    <mergeCell ref="T79:U79"/>
    <mergeCell ref="T80:U80"/>
    <mergeCell ref="T81:U81"/>
    <mergeCell ref="T82:U82"/>
    <mergeCell ref="T73:U73"/>
    <mergeCell ref="T74:U74"/>
    <mergeCell ref="T75:U75"/>
    <mergeCell ref="T76:U76"/>
    <mergeCell ref="T77:U77"/>
    <mergeCell ref="T68:U68"/>
    <mergeCell ref="T69:U69"/>
    <mergeCell ref="T70:U70"/>
    <mergeCell ref="T71:U71"/>
    <mergeCell ref="T72:U72"/>
    <mergeCell ref="T103:U103"/>
    <mergeCell ref="T104:U104"/>
    <mergeCell ref="T105:U105"/>
    <mergeCell ref="T106:U106"/>
    <mergeCell ref="T107:U107"/>
    <mergeCell ref="T98:U98"/>
    <mergeCell ref="T99:U99"/>
    <mergeCell ref="T100:U100"/>
    <mergeCell ref="T101:U101"/>
    <mergeCell ref="T102:U102"/>
    <mergeCell ref="T93:U93"/>
    <mergeCell ref="T94:U94"/>
    <mergeCell ref="T95:U95"/>
    <mergeCell ref="T96:U96"/>
    <mergeCell ref="T97:U97"/>
    <mergeCell ref="T88:U88"/>
    <mergeCell ref="T89:U89"/>
    <mergeCell ref="T90:U90"/>
    <mergeCell ref="T91:U91"/>
    <mergeCell ref="T92:U92"/>
    <mergeCell ref="T123:U123"/>
    <mergeCell ref="T124:U124"/>
    <mergeCell ref="T125:U125"/>
    <mergeCell ref="T126:U126"/>
    <mergeCell ref="T127:U127"/>
    <mergeCell ref="T118:U118"/>
    <mergeCell ref="T119:U119"/>
    <mergeCell ref="T120:U120"/>
    <mergeCell ref="T121:U121"/>
    <mergeCell ref="T122:U122"/>
    <mergeCell ref="T113:U113"/>
    <mergeCell ref="T114:U114"/>
    <mergeCell ref="T115:U115"/>
    <mergeCell ref="T116:U116"/>
    <mergeCell ref="T117:U117"/>
    <mergeCell ref="T108:U108"/>
    <mergeCell ref="T109:U109"/>
    <mergeCell ref="T110:U110"/>
    <mergeCell ref="T111:U111"/>
    <mergeCell ref="T112:U112"/>
    <mergeCell ref="T143:U143"/>
    <mergeCell ref="T144:U144"/>
    <mergeCell ref="T145:U145"/>
    <mergeCell ref="T146:U146"/>
    <mergeCell ref="T147:U147"/>
    <mergeCell ref="T138:U138"/>
    <mergeCell ref="T139:U139"/>
    <mergeCell ref="T140:U140"/>
    <mergeCell ref="T141:U141"/>
    <mergeCell ref="T142:U142"/>
    <mergeCell ref="T133:U133"/>
    <mergeCell ref="T134:U134"/>
    <mergeCell ref="T135:U135"/>
    <mergeCell ref="T136:U136"/>
    <mergeCell ref="T137:U137"/>
    <mergeCell ref="T128:U128"/>
    <mergeCell ref="T129:U129"/>
    <mergeCell ref="T130:U130"/>
    <mergeCell ref="T131:U131"/>
    <mergeCell ref="T132:U132"/>
    <mergeCell ref="T163:U163"/>
    <mergeCell ref="T164:U164"/>
    <mergeCell ref="T165:U165"/>
    <mergeCell ref="T166:U166"/>
    <mergeCell ref="T167:U167"/>
    <mergeCell ref="T158:U158"/>
    <mergeCell ref="T159:U159"/>
    <mergeCell ref="T160:U160"/>
    <mergeCell ref="T161:U161"/>
    <mergeCell ref="T162:U162"/>
    <mergeCell ref="T153:U153"/>
    <mergeCell ref="T154:U154"/>
    <mergeCell ref="T155:U155"/>
    <mergeCell ref="T156:U156"/>
    <mergeCell ref="T157:U157"/>
    <mergeCell ref="T148:U148"/>
    <mergeCell ref="T149:U149"/>
    <mergeCell ref="T150:U150"/>
    <mergeCell ref="T151:U151"/>
    <mergeCell ref="T152:U152"/>
    <mergeCell ref="T183:U183"/>
    <mergeCell ref="T184:U184"/>
    <mergeCell ref="T185:U185"/>
    <mergeCell ref="T186:U186"/>
    <mergeCell ref="T187:U187"/>
    <mergeCell ref="T178:U178"/>
    <mergeCell ref="T179:U179"/>
    <mergeCell ref="T180:U180"/>
    <mergeCell ref="T181:U181"/>
    <mergeCell ref="T182:U182"/>
    <mergeCell ref="T173:U173"/>
    <mergeCell ref="T174:U174"/>
    <mergeCell ref="T175:U175"/>
    <mergeCell ref="T176:U176"/>
    <mergeCell ref="T177:U177"/>
    <mergeCell ref="T168:U168"/>
    <mergeCell ref="T169:U169"/>
    <mergeCell ref="T170:U170"/>
    <mergeCell ref="T171:U171"/>
    <mergeCell ref="T172:U172"/>
    <mergeCell ref="T203:U203"/>
    <mergeCell ref="T204:U204"/>
    <mergeCell ref="T205:U205"/>
    <mergeCell ref="T206:U206"/>
    <mergeCell ref="T207:U207"/>
    <mergeCell ref="T198:U198"/>
    <mergeCell ref="T199:U199"/>
    <mergeCell ref="T200:U200"/>
    <mergeCell ref="T201:U201"/>
    <mergeCell ref="T202:U202"/>
    <mergeCell ref="T193:U193"/>
    <mergeCell ref="T194:U194"/>
    <mergeCell ref="T195:U195"/>
    <mergeCell ref="T196:U196"/>
    <mergeCell ref="T197:U197"/>
    <mergeCell ref="T188:U188"/>
    <mergeCell ref="T189:U189"/>
    <mergeCell ref="T190:U190"/>
    <mergeCell ref="T191:U191"/>
    <mergeCell ref="T192:U192"/>
    <mergeCell ref="T223:U223"/>
    <mergeCell ref="T224:U224"/>
    <mergeCell ref="T225:U225"/>
    <mergeCell ref="T226:U226"/>
    <mergeCell ref="T227:U227"/>
    <mergeCell ref="T218:U218"/>
    <mergeCell ref="T219:U219"/>
    <mergeCell ref="T220:U220"/>
    <mergeCell ref="T221:U221"/>
    <mergeCell ref="T222:U222"/>
    <mergeCell ref="T213:U213"/>
    <mergeCell ref="T214:U214"/>
    <mergeCell ref="T215:U215"/>
    <mergeCell ref="T216:U216"/>
    <mergeCell ref="T217:U217"/>
    <mergeCell ref="T208:U208"/>
    <mergeCell ref="T209:U209"/>
    <mergeCell ref="T210:U210"/>
    <mergeCell ref="T211:U211"/>
    <mergeCell ref="T212:U212"/>
    <mergeCell ref="T243:U243"/>
    <mergeCell ref="T244:U244"/>
    <mergeCell ref="T245:U245"/>
    <mergeCell ref="T246:U246"/>
    <mergeCell ref="T247:U247"/>
    <mergeCell ref="T238:U238"/>
    <mergeCell ref="T239:U239"/>
    <mergeCell ref="T240:U240"/>
    <mergeCell ref="T241:U241"/>
    <mergeCell ref="T242:U242"/>
    <mergeCell ref="T233:U233"/>
    <mergeCell ref="T234:U234"/>
    <mergeCell ref="T235:U235"/>
    <mergeCell ref="T236:U236"/>
    <mergeCell ref="T237:U237"/>
    <mergeCell ref="T228:U228"/>
    <mergeCell ref="T229:U229"/>
    <mergeCell ref="T230:U230"/>
    <mergeCell ref="T231:U231"/>
    <mergeCell ref="T232:U232"/>
    <mergeCell ref="T263:U263"/>
    <mergeCell ref="T264:U264"/>
    <mergeCell ref="T265:U265"/>
    <mergeCell ref="T266:U266"/>
    <mergeCell ref="T267:U267"/>
    <mergeCell ref="T258:U258"/>
    <mergeCell ref="T259:U259"/>
    <mergeCell ref="T260:U260"/>
    <mergeCell ref="T261:U261"/>
    <mergeCell ref="T262:U262"/>
    <mergeCell ref="T253:U253"/>
    <mergeCell ref="T254:U254"/>
    <mergeCell ref="T255:U255"/>
    <mergeCell ref="T256:U256"/>
    <mergeCell ref="T257:U257"/>
    <mergeCell ref="T248:U248"/>
    <mergeCell ref="T249:U249"/>
    <mergeCell ref="T250:U250"/>
    <mergeCell ref="T251:U251"/>
    <mergeCell ref="T252:U252"/>
    <mergeCell ref="T283:U283"/>
    <mergeCell ref="T284:U284"/>
    <mergeCell ref="T285:U285"/>
    <mergeCell ref="T286:U286"/>
    <mergeCell ref="T287:U287"/>
    <mergeCell ref="T278:U278"/>
    <mergeCell ref="T279:U279"/>
    <mergeCell ref="T280:U280"/>
    <mergeCell ref="T281:U281"/>
    <mergeCell ref="T282:U282"/>
    <mergeCell ref="T273:U273"/>
    <mergeCell ref="T274:U274"/>
    <mergeCell ref="T275:U275"/>
    <mergeCell ref="T276:U276"/>
    <mergeCell ref="T277:U277"/>
    <mergeCell ref="T268:U268"/>
    <mergeCell ref="T269:U269"/>
    <mergeCell ref="T270:U270"/>
    <mergeCell ref="T271:U271"/>
    <mergeCell ref="T272:U272"/>
    <mergeCell ref="T303:U303"/>
    <mergeCell ref="T304:U304"/>
    <mergeCell ref="T305:U305"/>
    <mergeCell ref="T306:U306"/>
    <mergeCell ref="T307:U307"/>
    <mergeCell ref="T298:U298"/>
    <mergeCell ref="T299:U299"/>
    <mergeCell ref="T300:U300"/>
    <mergeCell ref="T301:U301"/>
    <mergeCell ref="T302:U302"/>
    <mergeCell ref="T293:U293"/>
    <mergeCell ref="T294:U294"/>
    <mergeCell ref="T295:U295"/>
    <mergeCell ref="T296:U296"/>
    <mergeCell ref="T297:U297"/>
    <mergeCell ref="T288:U288"/>
    <mergeCell ref="T289:U289"/>
    <mergeCell ref="T290:U290"/>
    <mergeCell ref="T291:U291"/>
    <mergeCell ref="T292:U292"/>
    <mergeCell ref="T318:U318"/>
    <mergeCell ref="T319:U319"/>
    <mergeCell ref="AE336:AF336"/>
    <mergeCell ref="AE337:AF337"/>
    <mergeCell ref="AE338:AF338"/>
    <mergeCell ref="T313:U313"/>
    <mergeCell ref="T314:U314"/>
    <mergeCell ref="T315:U315"/>
    <mergeCell ref="T316:U316"/>
    <mergeCell ref="T317:U317"/>
    <mergeCell ref="T308:U308"/>
    <mergeCell ref="T309:U309"/>
    <mergeCell ref="T310:U310"/>
    <mergeCell ref="T311:U311"/>
    <mergeCell ref="T312:U312"/>
    <mergeCell ref="AC343:AD343"/>
    <mergeCell ref="AA343:AB343"/>
    <mergeCell ref="Y343:Z343"/>
    <mergeCell ref="W342:X342"/>
    <mergeCell ref="AC341:AD341"/>
    <mergeCell ref="AC342:AD342"/>
    <mergeCell ref="AC336:AD336"/>
    <mergeCell ref="AC337:AD337"/>
    <mergeCell ref="AC338:AD338"/>
    <mergeCell ref="AC339:AD339"/>
    <mergeCell ref="AC340:AD340"/>
    <mergeCell ref="Y339:Z339"/>
    <mergeCell ref="Y340:Z340"/>
    <mergeCell ref="Y341:Z341"/>
    <mergeCell ref="Y342:Z342"/>
    <mergeCell ref="W340:X340"/>
    <mergeCell ref="W341:X341"/>
    <mergeCell ref="AG7:AL8"/>
    <mergeCell ref="AM7:AP8"/>
    <mergeCell ref="AG9:AL10"/>
    <mergeCell ref="AM9:AP10"/>
    <mergeCell ref="BE65:BF66"/>
    <mergeCell ref="BG32:BH33"/>
    <mergeCell ref="BI32:BJ33"/>
    <mergeCell ref="BK32:BL33"/>
    <mergeCell ref="BW30:BX31"/>
    <mergeCell ref="AA32:AB33"/>
    <mergeCell ref="AC32:AD33"/>
    <mergeCell ref="AE32:AF33"/>
    <mergeCell ref="AG32:AH33"/>
    <mergeCell ref="AI32:AJ33"/>
    <mergeCell ref="AK32:AL33"/>
    <mergeCell ref="AM32:AN33"/>
    <mergeCell ref="AE343:AF343"/>
    <mergeCell ref="W67:BX68"/>
    <mergeCell ref="W69:Z70"/>
    <mergeCell ref="AA69:AB70"/>
    <mergeCell ref="AC69:AD70"/>
    <mergeCell ref="AE339:AF339"/>
    <mergeCell ref="AE340:AF340"/>
    <mergeCell ref="AE341:AF341"/>
    <mergeCell ref="AE342:AF342"/>
    <mergeCell ref="AC75:AD76"/>
    <mergeCell ref="AE75:AF76"/>
    <mergeCell ref="AG75:AH76"/>
    <mergeCell ref="BS83:BT84"/>
    <mergeCell ref="BU83:BV84"/>
    <mergeCell ref="BW83:BX84"/>
    <mergeCell ref="AM87:AN88"/>
    <mergeCell ref="T29:U29"/>
    <mergeCell ref="T30:U30"/>
    <mergeCell ref="T31:U31"/>
    <mergeCell ref="T32:U32"/>
    <mergeCell ref="R35:S35"/>
    <mergeCell ref="R36:S36"/>
    <mergeCell ref="R37:S37"/>
    <mergeCell ref="R38:S38"/>
    <mergeCell ref="R39:S39"/>
    <mergeCell ref="R24:S24"/>
    <mergeCell ref="BY63:BZ64"/>
    <mergeCell ref="AA65:AB66"/>
    <mergeCell ref="AC65:AD66"/>
    <mergeCell ref="AE65:AF66"/>
    <mergeCell ref="AG65:AH66"/>
    <mergeCell ref="AI65:AJ66"/>
    <mergeCell ref="AK65:AL66"/>
    <mergeCell ref="AM65:AN66"/>
    <mergeCell ref="AO65:AP66"/>
    <mergeCell ref="AQ65:AR66"/>
    <mergeCell ref="AS65:AT66"/>
    <mergeCell ref="AU65:AV66"/>
    <mergeCell ref="AW65:AX66"/>
    <mergeCell ref="AY65:AZ66"/>
    <mergeCell ref="BA65:BB66"/>
    <mergeCell ref="BC65:BD66"/>
    <mergeCell ref="T57:U57"/>
    <mergeCell ref="T48:U48"/>
    <mergeCell ref="T49:U49"/>
    <mergeCell ref="T50:U50"/>
    <mergeCell ref="T51:U51"/>
    <mergeCell ref="T52:U52"/>
    <mergeCell ref="BM34:BN35"/>
    <mergeCell ref="BO34:BP35"/>
    <mergeCell ref="BQ34:BR35"/>
    <mergeCell ref="BS34:BT35"/>
    <mergeCell ref="BU34:BV35"/>
    <mergeCell ref="BC34:BD35"/>
    <mergeCell ref="BE34:BF35"/>
    <mergeCell ref="BG34:BH35"/>
    <mergeCell ref="BI34:BJ35"/>
    <mergeCell ref="BK34:BL35"/>
    <mergeCell ref="AG1:AP2"/>
    <mergeCell ref="AG3:AL4"/>
    <mergeCell ref="AM3:AP4"/>
    <mergeCell ref="AG5:AL6"/>
    <mergeCell ref="AM5:AP6"/>
    <mergeCell ref="A11:J12"/>
    <mergeCell ref="G41:J42"/>
    <mergeCell ref="A41:F42"/>
    <mergeCell ref="W1:AF2"/>
    <mergeCell ref="W3:AB4"/>
    <mergeCell ref="AC3:AF4"/>
    <mergeCell ref="W5:AB6"/>
    <mergeCell ref="AC5:AF6"/>
    <mergeCell ref="W7:AB8"/>
    <mergeCell ref="AC7:AF8"/>
    <mergeCell ref="W9:AB10"/>
    <mergeCell ref="AC9:AF10"/>
    <mergeCell ref="T24:U24"/>
    <mergeCell ref="T25:U25"/>
    <mergeCell ref="T26:U26"/>
    <mergeCell ref="T27:U27"/>
    <mergeCell ref="T28:U28"/>
    <mergeCell ref="BM32:BN33"/>
    <mergeCell ref="BO32:BP33"/>
    <mergeCell ref="BQ32:BR33"/>
    <mergeCell ref="BS32:BT33"/>
    <mergeCell ref="BU32:BV33"/>
    <mergeCell ref="BC32:BD33"/>
    <mergeCell ref="BE32:BF33"/>
    <mergeCell ref="AW32:AX33"/>
    <mergeCell ref="AY32:AZ33"/>
    <mergeCell ref="BA32:BB33"/>
    <mergeCell ref="BM30:BN31"/>
    <mergeCell ref="BO30:BP31"/>
    <mergeCell ref="BQ30:BR31"/>
    <mergeCell ref="BS30:BT31"/>
    <mergeCell ref="BU30:BV31"/>
    <mergeCell ref="BC30:BD31"/>
    <mergeCell ref="BE30:BF31"/>
    <mergeCell ref="BG30:BH31"/>
    <mergeCell ref="BI30:BJ31"/>
    <mergeCell ref="BK30:BL31"/>
    <mergeCell ref="P20:Q20"/>
    <mergeCell ref="BW36:BX37"/>
    <mergeCell ref="N21:O21"/>
    <mergeCell ref="L21:M21"/>
    <mergeCell ref="N20:O20"/>
    <mergeCell ref="L20:M20"/>
    <mergeCell ref="T23:U23"/>
    <mergeCell ref="R23:S23"/>
    <mergeCell ref="N23:O23"/>
    <mergeCell ref="T22:U22"/>
    <mergeCell ref="R22:S22"/>
    <mergeCell ref="N22:O22"/>
    <mergeCell ref="BM36:BN37"/>
    <mergeCell ref="BO36:BP37"/>
    <mergeCell ref="BQ36:BR37"/>
    <mergeCell ref="BS36:BT37"/>
    <mergeCell ref="BU36:BV37"/>
    <mergeCell ref="BC36:BD37"/>
    <mergeCell ref="BE36:BF37"/>
    <mergeCell ref="BG36:BH37"/>
    <mergeCell ref="BI36:BJ37"/>
    <mergeCell ref="BK36:BL37"/>
    <mergeCell ref="BW34:BX35"/>
    <mergeCell ref="AA36:AB37"/>
    <mergeCell ref="AC36:AD37"/>
    <mergeCell ref="AE36:AF37"/>
    <mergeCell ref="AG36:AH37"/>
    <mergeCell ref="AI36:AJ37"/>
    <mergeCell ref="AK36:AL37"/>
    <mergeCell ref="BQ26:BR27"/>
    <mergeCell ref="BC26:BD27"/>
    <mergeCell ref="BW32:BX33"/>
    <mergeCell ref="AG11:AP12"/>
    <mergeCell ref="W11:AF12"/>
    <mergeCell ref="T21:U21"/>
    <mergeCell ref="R21:S21"/>
    <mergeCell ref="AM36:AN37"/>
    <mergeCell ref="AO36:AP37"/>
    <mergeCell ref="AQ36:AR37"/>
    <mergeCell ref="AS36:AT37"/>
    <mergeCell ref="AU36:AV37"/>
    <mergeCell ref="AW36:AX37"/>
    <mergeCell ref="AY36:AZ37"/>
    <mergeCell ref="BA36:BB37"/>
    <mergeCell ref="R25:S25"/>
    <mergeCell ref="R26:S26"/>
    <mergeCell ref="R27:S27"/>
    <mergeCell ref="R28:S28"/>
    <mergeCell ref="R29:S29"/>
    <mergeCell ref="R30:S30"/>
    <mergeCell ref="R31:S31"/>
    <mergeCell ref="AY26:AZ27"/>
    <mergeCell ref="BA26:BB27"/>
    <mergeCell ref="R20:S20"/>
    <mergeCell ref="AA34:AB35"/>
    <mergeCell ref="AC34:AD35"/>
    <mergeCell ref="AE34:AF35"/>
    <mergeCell ref="AG34:AH35"/>
    <mergeCell ref="AI34:AJ35"/>
    <mergeCell ref="AK34:AL35"/>
    <mergeCell ref="AM34:AN35"/>
    <mergeCell ref="AO34:AP35"/>
    <mergeCell ref="AQ34:AR35"/>
    <mergeCell ref="AS34:AT35"/>
    <mergeCell ref="BI40:BJ41"/>
    <mergeCell ref="BK40:BL41"/>
    <mergeCell ref="AA40:AB41"/>
    <mergeCell ref="AC40:AD41"/>
    <mergeCell ref="AE40:AF41"/>
    <mergeCell ref="AG40:AH41"/>
    <mergeCell ref="AI40:AJ41"/>
    <mergeCell ref="AK40:AL41"/>
    <mergeCell ref="AM40:AN41"/>
    <mergeCell ref="AW40:AX41"/>
    <mergeCell ref="AY40:AZ41"/>
    <mergeCell ref="BA40:BB41"/>
    <mergeCell ref="AG15:AL16"/>
    <mergeCell ref="AG17:AL18"/>
    <mergeCell ref="AG19:AL20"/>
    <mergeCell ref="AM15:AP16"/>
    <mergeCell ref="AM17:AP18"/>
    <mergeCell ref="AM19:AP20"/>
    <mergeCell ref="AU34:AV35"/>
    <mergeCell ref="AW34:AX35"/>
    <mergeCell ref="AY34:AZ35"/>
    <mergeCell ref="BA34:BB35"/>
    <mergeCell ref="BQ42:BR43"/>
    <mergeCell ref="BS42:BT43"/>
    <mergeCell ref="BU42:BV43"/>
    <mergeCell ref="BC42:BD43"/>
    <mergeCell ref="BE42:BF43"/>
    <mergeCell ref="BG42:BH43"/>
    <mergeCell ref="BI42:BJ43"/>
    <mergeCell ref="BK42:BL43"/>
    <mergeCell ref="BW44:BX45"/>
    <mergeCell ref="BW40:BX41"/>
    <mergeCell ref="AA42:AB43"/>
    <mergeCell ref="AC42:AD43"/>
    <mergeCell ref="AE42:AF43"/>
    <mergeCell ref="AG42:AH43"/>
    <mergeCell ref="AI42:AJ43"/>
    <mergeCell ref="AK42:AL43"/>
    <mergeCell ref="AM42:AN43"/>
    <mergeCell ref="AO42:AP43"/>
    <mergeCell ref="AQ42:AR43"/>
    <mergeCell ref="AS42:AT43"/>
    <mergeCell ref="AU42:AV43"/>
    <mergeCell ref="AW42:AX43"/>
    <mergeCell ref="AY42:AZ43"/>
    <mergeCell ref="BA42:BB43"/>
    <mergeCell ref="BM40:BN41"/>
    <mergeCell ref="BO40:BP41"/>
    <mergeCell ref="BQ40:BR41"/>
    <mergeCell ref="BS40:BT41"/>
    <mergeCell ref="BU40:BV41"/>
    <mergeCell ref="BC40:BD41"/>
    <mergeCell ref="BE40:BF41"/>
    <mergeCell ref="BG40:BH41"/>
    <mergeCell ref="AS46:AT47"/>
    <mergeCell ref="AU46:AV47"/>
    <mergeCell ref="AW46:AX47"/>
    <mergeCell ref="AY46:AZ47"/>
    <mergeCell ref="BA46:BB47"/>
    <mergeCell ref="BM44:BN45"/>
    <mergeCell ref="BO44:BP45"/>
    <mergeCell ref="BQ44:BR45"/>
    <mergeCell ref="BS44:BT45"/>
    <mergeCell ref="BU44:BV45"/>
    <mergeCell ref="BC44:BD45"/>
    <mergeCell ref="BE44:BF45"/>
    <mergeCell ref="BG44:BH45"/>
    <mergeCell ref="BI44:BJ45"/>
    <mergeCell ref="BK44:BL45"/>
    <mergeCell ref="BW42:BX43"/>
    <mergeCell ref="AA44:AB45"/>
    <mergeCell ref="AC44:AD45"/>
    <mergeCell ref="AE44:AF45"/>
    <mergeCell ref="AG44:AH45"/>
    <mergeCell ref="AI44:AJ45"/>
    <mergeCell ref="AK44:AL45"/>
    <mergeCell ref="AM44:AN45"/>
    <mergeCell ref="AO44:AP45"/>
    <mergeCell ref="AQ44:AR45"/>
    <mergeCell ref="AS44:AT45"/>
    <mergeCell ref="AU44:AV45"/>
    <mergeCell ref="AW44:AX45"/>
    <mergeCell ref="AY44:AZ45"/>
    <mergeCell ref="BA44:BB45"/>
    <mergeCell ref="BM42:BN43"/>
    <mergeCell ref="BO42:BP43"/>
    <mergeCell ref="BK48:BL49"/>
    <mergeCell ref="BW46:BX47"/>
    <mergeCell ref="AA48:AB49"/>
    <mergeCell ref="AC48:AD49"/>
    <mergeCell ref="AE48:AF49"/>
    <mergeCell ref="AG48:AH49"/>
    <mergeCell ref="AI48:AJ49"/>
    <mergeCell ref="AK48:AL49"/>
    <mergeCell ref="AM48:AN49"/>
    <mergeCell ref="AO48:AP49"/>
    <mergeCell ref="AQ48:AR49"/>
    <mergeCell ref="AS48:AT49"/>
    <mergeCell ref="AU48:AV49"/>
    <mergeCell ref="AW48:AX49"/>
    <mergeCell ref="AY48:AZ49"/>
    <mergeCell ref="BA48:BB49"/>
    <mergeCell ref="BM46:BN47"/>
    <mergeCell ref="BO46:BP47"/>
    <mergeCell ref="BQ46:BR47"/>
    <mergeCell ref="BS46:BT47"/>
    <mergeCell ref="BU46:BV47"/>
    <mergeCell ref="BC46:BD47"/>
    <mergeCell ref="BE46:BF47"/>
    <mergeCell ref="BG46:BH47"/>
    <mergeCell ref="BI46:BJ47"/>
    <mergeCell ref="BK46:BL47"/>
    <mergeCell ref="AG46:AH47"/>
    <mergeCell ref="AI46:AJ47"/>
    <mergeCell ref="AK46:AL47"/>
    <mergeCell ref="AM46:AN47"/>
    <mergeCell ref="AO46:AP47"/>
    <mergeCell ref="AQ46:AR47"/>
    <mergeCell ref="BY36:BZ37"/>
    <mergeCell ref="BY38:BZ39"/>
    <mergeCell ref="BY40:BZ41"/>
    <mergeCell ref="BY42:BZ43"/>
    <mergeCell ref="BY44:BZ45"/>
    <mergeCell ref="BY46:BZ47"/>
    <mergeCell ref="BY48:BZ49"/>
    <mergeCell ref="BY50:BZ51"/>
    <mergeCell ref="BY52:BZ53"/>
    <mergeCell ref="BW48:BX49"/>
    <mergeCell ref="BY54:BZ55"/>
    <mergeCell ref="BY56:BZ57"/>
    <mergeCell ref="BY58:BZ59"/>
    <mergeCell ref="W13:AB14"/>
    <mergeCell ref="W15:AB16"/>
    <mergeCell ref="W17:AB18"/>
    <mergeCell ref="W19:AB20"/>
    <mergeCell ref="AC13:AF14"/>
    <mergeCell ref="AC15:AF16"/>
    <mergeCell ref="AC17:AF18"/>
    <mergeCell ref="AC19:AF20"/>
    <mergeCell ref="AG13:AL14"/>
    <mergeCell ref="AM13:AP14"/>
    <mergeCell ref="BM48:BN49"/>
    <mergeCell ref="BO48:BP49"/>
    <mergeCell ref="BQ48:BR49"/>
    <mergeCell ref="BS48:BT49"/>
    <mergeCell ref="BU48:BV49"/>
    <mergeCell ref="BC48:BD49"/>
    <mergeCell ref="BE48:BF49"/>
    <mergeCell ref="BG48:BH49"/>
    <mergeCell ref="BI48:BJ49"/>
    <mergeCell ref="BE26:BF27"/>
    <mergeCell ref="BG26:BH27"/>
    <mergeCell ref="W32:Z33"/>
    <mergeCell ref="W30:Z31"/>
    <mergeCell ref="W26:Z27"/>
    <mergeCell ref="AA26:AB27"/>
    <mergeCell ref="BY24:BZ25"/>
    <mergeCell ref="BY26:BZ27"/>
    <mergeCell ref="BY28:BZ29"/>
    <mergeCell ref="BY30:BZ31"/>
    <mergeCell ref="BY32:BZ33"/>
    <mergeCell ref="W337:X337"/>
    <mergeCell ref="W336:X336"/>
    <mergeCell ref="W48:Z49"/>
    <mergeCell ref="AW52:AX53"/>
    <mergeCell ref="AY52:AZ53"/>
    <mergeCell ref="BA52:BB53"/>
    <mergeCell ref="BC52:BD53"/>
    <mergeCell ref="BE52:BF53"/>
    <mergeCell ref="BG52:BH53"/>
    <mergeCell ref="BI52:BJ53"/>
    <mergeCell ref="BK52:BL53"/>
    <mergeCell ref="BM52:BN53"/>
    <mergeCell ref="BO52:BP53"/>
    <mergeCell ref="BQ52:BR53"/>
    <mergeCell ref="W63:BX64"/>
    <mergeCell ref="W65:Z66"/>
    <mergeCell ref="BY34:BZ35"/>
    <mergeCell ref="W54:Z55"/>
    <mergeCell ref="W56:Z57"/>
    <mergeCell ref="W58:Z59"/>
    <mergeCell ref="AA54:AB55"/>
    <mergeCell ref="AA56:AB57"/>
    <mergeCell ref="AA58:AB59"/>
    <mergeCell ref="BS52:BT53"/>
    <mergeCell ref="BU52:BV53"/>
    <mergeCell ref="BW52:BX53"/>
    <mergeCell ref="W24:BX25"/>
    <mergeCell ref="W38:BX39"/>
    <mergeCell ref="W50:BX51"/>
    <mergeCell ref="BS26:BT27"/>
    <mergeCell ref="BU26:BV27"/>
    <mergeCell ref="BW26:BX27"/>
    <mergeCell ref="W28:BX29"/>
    <mergeCell ref="W52:Z53"/>
    <mergeCell ref="AA52:AB53"/>
    <mergeCell ref="AC52:AD53"/>
    <mergeCell ref="AE52:AF53"/>
    <mergeCell ref="AG52:AH53"/>
    <mergeCell ref="AI52:AJ53"/>
    <mergeCell ref="AK52:AL53"/>
    <mergeCell ref="AM52:AN53"/>
    <mergeCell ref="AO52:AP53"/>
    <mergeCell ref="AQ52:AR53"/>
    <mergeCell ref="AS52:AT53"/>
    <mergeCell ref="AU52:AV53"/>
    <mergeCell ref="BI26:BJ27"/>
    <mergeCell ref="BK26:BL27"/>
    <mergeCell ref="BM26:BN27"/>
    <mergeCell ref="BO26:BP27"/>
    <mergeCell ref="AK54:AL55"/>
    <mergeCell ref="AK56:AL57"/>
    <mergeCell ref="AK58:AL59"/>
    <mergeCell ref="AM54:AN55"/>
    <mergeCell ref="AM56:AN57"/>
    <mergeCell ref="AM58:AN59"/>
    <mergeCell ref="AG54:AH55"/>
    <mergeCell ref="AG56:AH57"/>
    <mergeCell ref="AG58:AH59"/>
    <mergeCell ref="AI54:AJ55"/>
    <mergeCell ref="AI56:AJ57"/>
    <mergeCell ref="AI58:AJ59"/>
    <mergeCell ref="AC54:AD55"/>
    <mergeCell ref="AC56:AD57"/>
    <mergeCell ref="AC58:AD59"/>
    <mergeCell ref="AE54:AF55"/>
    <mergeCell ref="AE56:AF57"/>
    <mergeCell ref="AE58:AF59"/>
    <mergeCell ref="AW54:AX55"/>
    <mergeCell ref="AW56:AX57"/>
    <mergeCell ref="AW58:AX59"/>
    <mergeCell ref="AY54:AZ55"/>
    <mergeCell ref="AY56:AZ57"/>
    <mergeCell ref="AY58:AZ59"/>
    <mergeCell ref="AS54:AT55"/>
    <mergeCell ref="AS56:AT57"/>
    <mergeCell ref="AS58:AT59"/>
    <mergeCell ref="AU54:AV55"/>
    <mergeCell ref="AU56:AV57"/>
    <mergeCell ref="AU58:AV59"/>
    <mergeCell ref="AO54:AP55"/>
    <mergeCell ref="AO56:AP57"/>
    <mergeCell ref="AO58:AP59"/>
    <mergeCell ref="AQ54:AR55"/>
    <mergeCell ref="AQ56:AR57"/>
    <mergeCell ref="AQ58:AR59"/>
    <mergeCell ref="BI54:BJ55"/>
    <mergeCell ref="BI56:BJ57"/>
    <mergeCell ref="BI58:BJ59"/>
    <mergeCell ref="BW73:BX74"/>
    <mergeCell ref="BK54:BL55"/>
    <mergeCell ref="BK56:BL57"/>
    <mergeCell ref="BK58:BL59"/>
    <mergeCell ref="BE54:BF55"/>
    <mergeCell ref="BE56:BF57"/>
    <mergeCell ref="BE58:BF59"/>
    <mergeCell ref="BG54:BH55"/>
    <mergeCell ref="BG56:BH57"/>
    <mergeCell ref="BG58:BH59"/>
    <mergeCell ref="BA54:BB55"/>
    <mergeCell ref="BA56:BB57"/>
    <mergeCell ref="BA58:BB59"/>
    <mergeCell ref="BC54:BD55"/>
    <mergeCell ref="BC56:BD57"/>
    <mergeCell ref="BC58:BD59"/>
    <mergeCell ref="BU56:BV57"/>
    <mergeCell ref="BU58:BV59"/>
    <mergeCell ref="BQ75:BR76"/>
    <mergeCell ref="BS75:BT76"/>
    <mergeCell ref="BU75:BV76"/>
    <mergeCell ref="BW75:BX76"/>
    <mergeCell ref="BY75:BZ76"/>
    <mergeCell ref="BG75:BH76"/>
    <mergeCell ref="BI75:BJ76"/>
    <mergeCell ref="BK75:BL76"/>
    <mergeCell ref="BM75:BN76"/>
    <mergeCell ref="BO75:BP76"/>
    <mergeCell ref="AW75:AX76"/>
    <mergeCell ref="AY75:AZ76"/>
    <mergeCell ref="BW54:BX55"/>
    <mergeCell ref="BW56:BX57"/>
    <mergeCell ref="BW58:BX59"/>
    <mergeCell ref="BQ54:BR55"/>
    <mergeCell ref="BQ56:BR57"/>
    <mergeCell ref="BQ58:BR59"/>
    <mergeCell ref="BS54:BT55"/>
    <mergeCell ref="BS56:BT57"/>
    <mergeCell ref="BS58:BT59"/>
    <mergeCell ref="BM54:BN55"/>
    <mergeCell ref="BM56:BN57"/>
    <mergeCell ref="BM58:BN59"/>
    <mergeCell ref="BO54:BP55"/>
    <mergeCell ref="BO56:BP57"/>
    <mergeCell ref="BO58:BP59"/>
    <mergeCell ref="BQ71:BR72"/>
    <mergeCell ref="BS71:BT72"/>
    <mergeCell ref="BU71:BV72"/>
    <mergeCell ref="BW71:BX72"/>
    <mergeCell ref="BA75:BB76"/>
    <mergeCell ref="BG71:BH72"/>
    <mergeCell ref="BI71:BJ72"/>
    <mergeCell ref="BK71:BL72"/>
    <mergeCell ref="BM71:BN72"/>
    <mergeCell ref="BO71:BP72"/>
    <mergeCell ref="AW71:AX72"/>
    <mergeCell ref="AY71:AZ72"/>
    <mergeCell ref="BA71:BB72"/>
    <mergeCell ref="BC71:BD72"/>
    <mergeCell ref="BE71:BF72"/>
    <mergeCell ref="AM77:AN78"/>
    <mergeCell ref="AO77:AP78"/>
    <mergeCell ref="AQ77:AR78"/>
    <mergeCell ref="AS77:AT78"/>
    <mergeCell ref="AA77:AB78"/>
    <mergeCell ref="AC77:AD78"/>
    <mergeCell ref="AE77:AF78"/>
    <mergeCell ref="AG77:AH78"/>
    <mergeCell ref="AI77:AJ78"/>
    <mergeCell ref="AI75:AJ76"/>
    <mergeCell ref="AK75:AL76"/>
    <mergeCell ref="BC75:BD76"/>
    <mergeCell ref="BE75:BF76"/>
    <mergeCell ref="AM75:AN76"/>
    <mergeCell ref="AO75:AP76"/>
    <mergeCell ref="AQ75:AR76"/>
    <mergeCell ref="AS75:AT76"/>
    <mergeCell ref="AU75:AV76"/>
    <mergeCell ref="AC71:AD72"/>
    <mergeCell ref="AE71:AF72"/>
    <mergeCell ref="AG71:AH72"/>
    <mergeCell ref="AI71:AJ72"/>
    <mergeCell ref="BY77:BZ78"/>
    <mergeCell ref="W81:BX82"/>
    <mergeCell ref="BY81:BZ82"/>
    <mergeCell ref="W83:Z84"/>
    <mergeCell ref="AA83:AB84"/>
    <mergeCell ref="AC83:AD84"/>
    <mergeCell ref="AE83:AF84"/>
    <mergeCell ref="AG83:AH84"/>
    <mergeCell ref="AI83:AJ84"/>
    <mergeCell ref="AK83:AL84"/>
    <mergeCell ref="AM83:AN84"/>
    <mergeCell ref="AO83:AP84"/>
    <mergeCell ref="AQ83:AR84"/>
    <mergeCell ref="AS83:AT84"/>
    <mergeCell ref="AU83:AV84"/>
    <mergeCell ref="AW83:AX84"/>
    <mergeCell ref="BO77:BP78"/>
    <mergeCell ref="BQ77:BR78"/>
    <mergeCell ref="BS77:BT78"/>
    <mergeCell ref="BU77:BV78"/>
    <mergeCell ref="BW77:BX78"/>
    <mergeCell ref="BE77:BF78"/>
    <mergeCell ref="BG77:BH78"/>
    <mergeCell ref="BI77:BJ78"/>
    <mergeCell ref="BK77:BL78"/>
    <mergeCell ref="BM77:BN78"/>
    <mergeCell ref="AU77:AV78"/>
    <mergeCell ref="AW77:AX78"/>
    <mergeCell ref="AY77:AZ78"/>
    <mergeCell ref="BA77:BB78"/>
    <mergeCell ref="BC77:BD78"/>
    <mergeCell ref="AK77:AL78"/>
    <mergeCell ref="BY83:BZ84"/>
    <mergeCell ref="W85:Z86"/>
    <mergeCell ref="AA85:AB86"/>
    <mergeCell ref="AC85:AD86"/>
    <mergeCell ref="AE85:AF86"/>
    <mergeCell ref="AG85:AH86"/>
    <mergeCell ref="AI85:AJ86"/>
    <mergeCell ref="AK85:AL86"/>
    <mergeCell ref="AM85:AN86"/>
    <mergeCell ref="AO85:AP86"/>
    <mergeCell ref="AQ85:AR86"/>
    <mergeCell ref="AS85:AT86"/>
    <mergeCell ref="AU85:AV86"/>
    <mergeCell ref="BI83:BJ84"/>
    <mergeCell ref="BK83:BL84"/>
    <mergeCell ref="BM83:BN84"/>
    <mergeCell ref="BO83:BP84"/>
    <mergeCell ref="BQ83:BR84"/>
    <mergeCell ref="AY83:AZ84"/>
    <mergeCell ref="BA83:BB84"/>
    <mergeCell ref="BC83:BD84"/>
    <mergeCell ref="BE83:BF84"/>
    <mergeCell ref="BG83:BH84"/>
    <mergeCell ref="AC87:AD88"/>
    <mergeCell ref="AE87:AF88"/>
    <mergeCell ref="AG87:AH88"/>
    <mergeCell ref="AI87:AJ88"/>
    <mergeCell ref="BQ85:BR86"/>
    <mergeCell ref="BS85:BT86"/>
    <mergeCell ref="BU85:BV86"/>
    <mergeCell ref="BW85:BX86"/>
    <mergeCell ref="BY85:BZ86"/>
    <mergeCell ref="BG85:BH86"/>
    <mergeCell ref="BI85:BJ86"/>
    <mergeCell ref="BK85:BL86"/>
    <mergeCell ref="BM85:BN86"/>
    <mergeCell ref="BO85:BP86"/>
    <mergeCell ref="AW85:AX86"/>
    <mergeCell ref="AY85:AZ86"/>
    <mergeCell ref="BA85:BB86"/>
    <mergeCell ref="BC85:BD86"/>
    <mergeCell ref="BE85:BF86"/>
    <mergeCell ref="BY87:BZ88"/>
    <mergeCell ref="BS87:BT88"/>
    <mergeCell ref="BU87:BV88"/>
    <mergeCell ref="BW87:BX88"/>
    <mergeCell ref="AO87:AP88"/>
    <mergeCell ref="AQ87:AR88"/>
    <mergeCell ref="AS87:AT88"/>
    <mergeCell ref="AK89:AL90"/>
    <mergeCell ref="AM89:AN90"/>
    <mergeCell ref="AO89:AP90"/>
    <mergeCell ref="AQ89:AR90"/>
    <mergeCell ref="AS89:AT90"/>
    <mergeCell ref="AU89:AV90"/>
    <mergeCell ref="AW89:AX90"/>
    <mergeCell ref="AY89:AZ90"/>
    <mergeCell ref="BA89:BB90"/>
    <mergeCell ref="BO87:BP88"/>
    <mergeCell ref="BQ87:BR88"/>
    <mergeCell ref="BE87:BF88"/>
    <mergeCell ref="BG87:BH88"/>
    <mergeCell ref="BI87:BJ88"/>
    <mergeCell ref="BK87:BL88"/>
    <mergeCell ref="BM87:BN88"/>
    <mergeCell ref="AU87:AV88"/>
    <mergeCell ref="AW87:AX88"/>
    <mergeCell ref="AY87:AZ88"/>
    <mergeCell ref="BA87:BB88"/>
    <mergeCell ref="BC87:BD88"/>
    <mergeCell ref="AK87:AL88"/>
    <mergeCell ref="BW89:BX90"/>
    <mergeCell ref="BY89:BZ90"/>
    <mergeCell ref="W91:Z92"/>
    <mergeCell ref="AA91:AB92"/>
    <mergeCell ref="AC91:AD92"/>
    <mergeCell ref="AE91:AF92"/>
    <mergeCell ref="AG91:AH92"/>
    <mergeCell ref="AI91:AJ92"/>
    <mergeCell ref="AK91:AL92"/>
    <mergeCell ref="AM91:AN92"/>
    <mergeCell ref="AO91:AP92"/>
    <mergeCell ref="AQ91:AR92"/>
    <mergeCell ref="AS91:AT92"/>
    <mergeCell ref="AU91:AV92"/>
    <mergeCell ref="AW91:AX92"/>
    <mergeCell ref="AY91:AZ92"/>
    <mergeCell ref="BM89:BN90"/>
    <mergeCell ref="BO89:BP90"/>
    <mergeCell ref="BQ89:BR90"/>
    <mergeCell ref="BS89:BT90"/>
    <mergeCell ref="BU89:BV90"/>
    <mergeCell ref="BC89:BD90"/>
    <mergeCell ref="BE89:BF90"/>
    <mergeCell ref="BG89:BH90"/>
    <mergeCell ref="BI89:BJ90"/>
    <mergeCell ref="BK89:BL90"/>
    <mergeCell ref="W89:Z90"/>
    <mergeCell ref="AA89:AB90"/>
    <mergeCell ref="AC89:AD90"/>
    <mergeCell ref="AE89:AF90"/>
    <mergeCell ref="AG89:AH90"/>
    <mergeCell ref="AI89:AJ90"/>
    <mergeCell ref="AA95:AB96"/>
    <mergeCell ref="AC95:AD96"/>
    <mergeCell ref="AE95:AF96"/>
    <mergeCell ref="AG95:AH96"/>
    <mergeCell ref="AI95:AJ96"/>
    <mergeCell ref="BU91:BV92"/>
    <mergeCell ref="BW91:BX92"/>
    <mergeCell ref="BY91:BZ92"/>
    <mergeCell ref="W93:BX94"/>
    <mergeCell ref="BY93:BZ94"/>
    <mergeCell ref="BK91:BL92"/>
    <mergeCell ref="BM91:BN92"/>
    <mergeCell ref="BO91:BP92"/>
    <mergeCell ref="BQ91:BR92"/>
    <mergeCell ref="BS91:BT92"/>
    <mergeCell ref="BA91:BB92"/>
    <mergeCell ref="BC91:BD92"/>
    <mergeCell ref="BE91:BF92"/>
    <mergeCell ref="BG91:BH92"/>
    <mergeCell ref="BI91:BJ92"/>
    <mergeCell ref="BY95:BZ96"/>
    <mergeCell ref="BS95:BT96"/>
    <mergeCell ref="BU95:BV96"/>
    <mergeCell ref="BW95:BX96"/>
    <mergeCell ref="AE97:AF98"/>
    <mergeCell ref="AG97:AH98"/>
    <mergeCell ref="AI97:AJ98"/>
    <mergeCell ref="AK97:AL98"/>
    <mergeCell ref="AM97:AN98"/>
    <mergeCell ref="AO97:AP98"/>
    <mergeCell ref="AQ97:AR98"/>
    <mergeCell ref="AS97:AT98"/>
    <mergeCell ref="AU97:AV98"/>
    <mergeCell ref="AW97:AX98"/>
    <mergeCell ref="AY97:AZ98"/>
    <mergeCell ref="BA97:BB98"/>
    <mergeCell ref="BO95:BP96"/>
    <mergeCell ref="BQ95:BR96"/>
    <mergeCell ref="BE95:BF96"/>
    <mergeCell ref="BG95:BH96"/>
    <mergeCell ref="BI95:BJ96"/>
    <mergeCell ref="BK95:BL96"/>
    <mergeCell ref="BM95:BN96"/>
    <mergeCell ref="AU95:AV96"/>
    <mergeCell ref="AW95:AX96"/>
    <mergeCell ref="AY95:AZ96"/>
    <mergeCell ref="BA95:BB96"/>
    <mergeCell ref="BC95:BD96"/>
    <mergeCell ref="AK95:AL96"/>
    <mergeCell ref="AM95:AN96"/>
    <mergeCell ref="AO95:AP96"/>
    <mergeCell ref="AQ95:AR96"/>
    <mergeCell ref="AS95:AT96"/>
    <mergeCell ref="BW97:BX98"/>
    <mergeCell ref="BY97:BZ98"/>
    <mergeCell ref="W99:Z100"/>
    <mergeCell ref="AA99:AB100"/>
    <mergeCell ref="AC99:AD100"/>
    <mergeCell ref="AE99:AF100"/>
    <mergeCell ref="AG99:AH100"/>
    <mergeCell ref="AI99:AJ100"/>
    <mergeCell ref="AK99:AL100"/>
    <mergeCell ref="AM99:AN100"/>
    <mergeCell ref="AO99:AP100"/>
    <mergeCell ref="AQ99:AR100"/>
    <mergeCell ref="AS99:AT100"/>
    <mergeCell ref="AU99:AV100"/>
    <mergeCell ref="AW99:AX100"/>
    <mergeCell ref="AY99:AZ100"/>
    <mergeCell ref="BM97:BN98"/>
    <mergeCell ref="BO97:BP98"/>
    <mergeCell ref="BQ97:BR98"/>
    <mergeCell ref="BS97:BT98"/>
    <mergeCell ref="BU97:BV98"/>
    <mergeCell ref="BC97:BD98"/>
    <mergeCell ref="BE97:BF98"/>
    <mergeCell ref="BG97:BH98"/>
    <mergeCell ref="BI97:BJ98"/>
    <mergeCell ref="BK97:BL98"/>
    <mergeCell ref="BW99:BX100"/>
    <mergeCell ref="BY99:BZ100"/>
    <mergeCell ref="BS99:BT100"/>
    <mergeCell ref="W97:Z98"/>
    <mergeCell ref="AA97:AB98"/>
    <mergeCell ref="AC97:AD98"/>
    <mergeCell ref="W101:Z102"/>
    <mergeCell ref="AA101:AB102"/>
    <mergeCell ref="AC101:AD102"/>
    <mergeCell ref="AE101:AF102"/>
    <mergeCell ref="AG101:AH102"/>
    <mergeCell ref="AI101:AJ102"/>
    <mergeCell ref="AK101:AL102"/>
    <mergeCell ref="AM101:AN102"/>
    <mergeCell ref="AO101:AP102"/>
    <mergeCell ref="AQ101:AR102"/>
    <mergeCell ref="AS101:AT102"/>
    <mergeCell ref="AU101:AV102"/>
    <mergeCell ref="AW101:AX102"/>
    <mergeCell ref="BK99:BL100"/>
    <mergeCell ref="BM99:BN100"/>
    <mergeCell ref="BO99:BP100"/>
    <mergeCell ref="BQ99:BR100"/>
    <mergeCell ref="BA99:BB100"/>
    <mergeCell ref="BC99:BD100"/>
    <mergeCell ref="BE99:BF100"/>
    <mergeCell ref="BG99:BH100"/>
    <mergeCell ref="BI99:BJ100"/>
    <mergeCell ref="BY73:BZ74"/>
    <mergeCell ref="G53:J54"/>
    <mergeCell ref="A53:F54"/>
    <mergeCell ref="A55:F56"/>
    <mergeCell ref="G55:J56"/>
    <mergeCell ref="BM73:BN74"/>
    <mergeCell ref="BO73:BP74"/>
    <mergeCell ref="BQ73:BR74"/>
    <mergeCell ref="BS73:BT74"/>
    <mergeCell ref="BU73:BV74"/>
    <mergeCell ref="BC73:BD74"/>
    <mergeCell ref="BE73:BF74"/>
    <mergeCell ref="BG73:BH74"/>
    <mergeCell ref="BI73:BJ74"/>
    <mergeCell ref="BK73:BL74"/>
    <mergeCell ref="W73:Z74"/>
    <mergeCell ref="AA73:AB74"/>
    <mergeCell ref="AC73:AD74"/>
    <mergeCell ref="AE73:AF74"/>
    <mergeCell ref="AG73:AH74"/>
    <mergeCell ref="AI73:AJ74"/>
    <mergeCell ref="AK73:AL74"/>
    <mergeCell ref="AM73:AN74"/>
    <mergeCell ref="AO73:AP74"/>
    <mergeCell ref="AQ73:AR74"/>
    <mergeCell ref="AS73:AT74"/>
    <mergeCell ref="AU73:AV74"/>
    <mergeCell ref="AW73:AX74"/>
    <mergeCell ref="AY73:AZ74"/>
    <mergeCell ref="BA73:BB74"/>
    <mergeCell ref="BU54:BV55"/>
    <mergeCell ref="BY71:BZ72"/>
    <mergeCell ref="BE79:BZ80"/>
    <mergeCell ref="W104:AJ114"/>
    <mergeCell ref="AU79:AV80"/>
    <mergeCell ref="AW79:AX80"/>
    <mergeCell ref="AY79:AZ80"/>
    <mergeCell ref="BA79:BB80"/>
    <mergeCell ref="BC79:BD80"/>
    <mergeCell ref="AK79:AL80"/>
    <mergeCell ref="AM79:AN80"/>
    <mergeCell ref="AO79:AP80"/>
    <mergeCell ref="AQ79:AR80"/>
    <mergeCell ref="AS79:AT80"/>
    <mergeCell ref="AA79:AB80"/>
    <mergeCell ref="AC79:AD80"/>
    <mergeCell ref="AE79:AF80"/>
    <mergeCell ref="AG79:AH80"/>
    <mergeCell ref="AI79:AJ80"/>
    <mergeCell ref="BS101:BT102"/>
    <mergeCell ref="BU101:BV102"/>
    <mergeCell ref="BW101:BX102"/>
    <mergeCell ref="BY101:BZ102"/>
    <mergeCell ref="BI101:BJ102"/>
    <mergeCell ref="BK101:BL102"/>
    <mergeCell ref="BM101:BN102"/>
    <mergeCell ref="BO101:BP102"/>
    <mergeCell ref="BQ101:BR102"/>
    <mergeCell ref="AY101:AZ102"/>
    <mergeCell ref="BA101:BB102"/>
    <mergeCell ref="BC101:BD102"/>
    <mergeCell ref="BE101:BF102"/>
    <mergeCell ref="BG101:BH102"/>
    <mergeCell ref="BU99:BV100"/>
  </mergeCells>
  <phoneticPr fontId="19" type="noConversion"/>
  <pageMargins left="0.75" right="0.75" top="1" bottom="1" header="0.5" footer="0.5"/>
  <pageSetup paperSize="9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Kévin BOUGREL</dc:creator>
  <cp:keywords/>
  <dc:description/>
  <cp:lastModifiedBy>Thomas GODDARD</cp:lastModifiedBy>
  <dcterms:created xsi:type="dcterms:W3CDTF">2018-03-18T12:28:23Z</dcterms:created>
  <dcterms:modified xsi:type="dcterms:W3CDTF">2020-01-27T16:48:12Z</dcterms:modified>
  <cp:category/>
</cp:coreProperties>
</file>